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80" windowWidth="10920" windowHeight="2595" tabRatio="872" activeTab="2"/>
  </bookViews>
  <sheets>
    <sheet name="Basis" sheetId="1" r:id="rId1"/>
    <sheet name="Uitgangspunten" sheetId="2" r:id="rId2"/>
    <sheet name="Gegevens" sheetId="3" r:id="rId3"/>
    <sheet name="Snelheid" sheetId="4" r:id="rId4"/>
    <sheet name="Grafiek 1" sheetId="5" r:id="rId5"/>
    <sheet name="Grafiek 2" sheetId="6" r:id="rId6"/>
    <sheet name="Per seconde" sheetId="7" r:id="rId7"/>
    <sheet name="Grafiek 3" sheetId="8" r:id="rId8"/>
    <sheet name="Per meter" sheetId="9" r:id="rId9"/>
    <sheet name="Grafiek 4" sheetId="10" r:id="rId10"/>
    <sheet name="Samenvatting" sheetId="11" r:id="rId11"/>
  </sheets>
  <definedNames>
    <definedName name="_Fill" localSheetId="8" hidden="1">'Per meter'!#REF!</definedName>
    <definedName name="_Fill" localSheetId="6" hidden="1">'Per seconde'!$B$14:$B$112</definedName>
    <definedName name="_Fill" hidden="1">'Gegevens'!$A$103:$A$366</definedName>
    <definedName name="_Regression_Int" localSheetId="2" hidden="1">1</definedName>
    <definedName name="_Regression_Int" localSheetId="8" hidden="1">1</definedName>
    <definedName name="_Regression_Int" localSheetId="6" hidden="1">1</definedName>
    <definedName name="_Sort" localSheetId="8" hidden="1">'Per meter'!$A:$A</definedName>
    <definedName name="_Sort" localSheetId="6" hidden="1">'Per seconde'!$A:$A</definedName>
    <definedName name="_Sort" hidden="1">'Gegevens'!$A:$A</definedName>
    <definedName name="afstand1" localSheetId="8">'Per meter'!$E$16</definedName>
    <definedName name="afstand1" localSheetId="6">'Per seconde'!$E$15</definedName>
    <definedName name="afstand1">'Snelheid'!$D$43</definedName>
    <definedName name="afstand2" localSheetId="8">'Per meter'!$E$17</definedName>
    <definedName name="afstand2" localSheetId="6">'Per seconde'!$E$16</definedName>
    <definedName name="afstand2">'Snelheid'!$D$44</definedName>
    <definedName name="alfa" localSheetId="8">'Per meter'!$E$9</definedName>
    <definedName name="alfa" localSheetId="6">'Per seconde'!$F$10</definedName>
    <definedName name="alfa">'Snelheid'!$H$9</definedName>
    <definedName name="b" localSheetId="8">'Per meter'!#REF!</definedName>
    <definedName name="b" localSheetId="6">'Per seconde'!$G$50</definedName>
    <definedName name="b">'Snelheid'!#REF!</definedName>
    <definedName name="bft" localSheetId="8">'Per meter'!$B$8</definedName>
    <definedName name="bft" localSheetId="6">'Per seconde'!$B$9</definedName>
    <definedName name="bft">'Snelheid'!$B$8</definedName>
    <definedName name="bft0" localSheetId="8">'Per meter'!#REF!</definedName>
    <definedName name="bft0" localSheetId="6">'Per seconde'!#REF!</definedName>
    <definedName name="bft0">'Gegevens'!#REF!</definedName>
    <definedName name="bft1" localSheetId="8">'Per meter'!$E$18</definedName>
    <definedName name="bft1" localSheetId="6">'Per seconde'!$E$17</definedName>
    <definedName name="bft1">'Snelheid'!$D$45</definedName>
    <definedName name="bft2" localSheetId="8">'Per meter'!$E$19</definedName>
    <definedName name="bft2" localSheetId="6">'Per seconde'!$E$18</definedName>
    <definedName name="bft2">'Snelheid'!$D$46</definedName>
    <definedName name="cw" localSheetId="8">'Per meter'!$E$7</definedName>
    <definedName name="cw" localSheetId="6">'Per seconde'!$F$8</definedName>
    <definedName name="cw">'Gegevens'!$F$18</definedName>
    <definedName name="g" localSheetId="8">'Per meter'!$B$7</definedName>
    <definedName name="g" localSheetId="6">'Per seconde'!$B$8</definedName>
    <definedName name="g">'Gegevens'!$B$17</definedName>
    <definedName name="gewicht" localSheetId="8">'Per meter'!$E$6</definedName>
    <definedName name="gewicht" localSheetId="6">'Per seconde'!$F$7</definedName>
    <definedName name="gewicht">'Gegevens'!$B$16</definedName>
    <definedName name="helling" localSheetId="8">'Per meter'!#REF!</definedName>
    <definedName name="helling" localSheetId="6">'Per seconde'!#REF!</definedName>
    <definedName name="helling">'Snelheid'!$B$11</definedName>
    <definedName name="helling0" localSheetId="8">'Per meter'!#REF!</definedName>
    <definedName name="helling0" localSheetId="6">'Per seconde'!#REF!</definedName>
    <definedName name="helling0">'Gegevens'!$B$18</definedName>
    <definedName name="helling1" localSheetId="8">'Per meter'!$E$18</definedName>
    <definedName name="helling1" localSheetId="6">'Per seconde'!$E$17</definedName>
    <definedName name="helling1">'Snelheid'!$D$45</definedName>
    <definedName name="helling2" localSheetId="8">'Per meter'!$E$19</definedName>
    <definedName name="helling2" localSheetId="6">'Per seconde'!$E$18</definedName>
    <definedName name="helling2">'Snelheid'!$D$46</definedName>
    <definedName name="hoek" localSheetId="8">'Per meter'!$E$9</definedName>
    <definedName name="hoek" localSheetId="6">'Per seconde'!$F$10</definedName>
    <definedName name="hoek">'Snelheid'!$H$9</definedName>
    <definedName name="incr" localSheetId="8">'Per meter'!$B$12</definedName>
    <definedName name="incr" localSheetId="6">'Per seconde'!$B$12</definedName>
    <definedName name="incr">'Snelheid'!#REF!</definedName>
    <definedName name="massa" localSheetId="8">'Per meter'!$E$6</definedName>
    <definedName name="massa" localSheetId="6">'Per seconde'!$F$7</definedName>
    <definedName name="massa">'Gegevens'!$B$16</definedName>
    <definedName name="opaf">'Per meter'!$F$12</definedName>
    <definedName name="pmax" localSheetId="8">'Per meter'!#REF!</definedName>
    <definedName name="pmax" localSheetId="6">'Per seconde'!$F$50</definedName>
    <definedName name="pmax">'Snelheid'!#REF!</definedName>
    <definedName name="pnul" localSheetId="8">'Per meter'!#REF!</definedName>
    <definedName name="pnul" localSheetId="6">'Per seconde'!$B$50</definedName>
    <definedName name="pnul">'Snelheid'!#REF!</definedName>
    <definedName name="snelheid0" localSheetId="8">'Per meter'!$F$5</definedName>
    <definedName name="snelheid0" localSheetId="6">'Per seconde'!#REF!</definedName>
    <definedName name="snelheid0">'Gegevens'!$F$15</definedName>
    <definedName name="ttot" localSheetId="8">'Per meter'!$E$20</definedName>
    <definedName name="ttot" localSheetId="6">'Per seconde'!$E$19</definedName>
    <definedName name="ttot">'Snelheid'!$D$47</definedName>
    <definedName name="wind" localSheetId="8">'Per meter'!$E$8</definedName>
    <definedName name="wind" localSheetId="6">'Per seconde'!$F$9</definedName>
    <definedName name="wind">'Snelheid'!$H$8</definedName>
    <definedName name="wind0" localSheetId="8">'Per meter'!$E$7</definedName>
    <definedName name="wind0" localSheetId="6">'Per seconde'!$F$8</definedName>
    <definedName name="wind0">'Gegevens'!$F$18</definedName>
    <definedName name="wind1" localSheetId="8">'Per meter'!$I$19</definedName>
    <definedName name="wind1" localSheetId="6">'Per seconde'!$H$18</definedName>
    <definedName name="wind1">'Snelheid'!$F$46</definedName>
    <definedName name="wind2" localSheetId="8">'Per meter'!$I$19</definedName>
    <definedName name="wind2" localSheetId="6">'Per seconde'!$H$18</definedName>
    <definedName name="wind2">'Snelheid'!$F$46</definedName>
    <definedName name="windhoek" localSheetId="8">'Per meter'!$B$9</definedName>
    <definedName name="windhoek" localSheetId="6">'Per seconde'!$B$10</definedName>
    <definedName name="windhoek">'Snelheid'!$B$9</definedName>
    <definedName name="wrijving" localSheetId="8">'Per meter'!$B$5</definedName>
    <definedName name="wrijving" localSheetId="6">'Per seconde'!$B$6</definedName>
    <definedName name="wrijving">'Gegevens'!$F$11</definedName>
  </definedNames>
  <calcPr fullCalcOnLoad="1"/>
</workbook>
</file>

<file path=xl/sharedStrings.xml><?xml version="1.0" encoding="utf-8"?>
<sst xmlns="http://schemas.openxmlformats.org/spreadsheetml/2006/main" count="316" uniqueCount="173">
  <si>
    <t>Bereken uw energieverbruik per fiets</t>
  </si>
  <si>
    <t>Deze excelfile bevat een aantal werkbladen waarmee je diverse gegevens kunt berekenen met betrekking tot energieverbruik bij het fietsen.</t>
  </si>
  <si>
    <t>In het blad "gegevens" kun je een aantal gegevens van jezelf invullen. De andere bladen gebruiken deze gegevens dan.</t>
  </si>
  <si>
    <t>Standaard zijn gegevens ingevuld van de situatie die bij mij vaak voorkomt.</t>
  </si>
  <si>
    <t>Bij voorkeur loop je de bladen daarna een voor een door.</t>
  </si>
  <si>
    <t>De werkbladen zijn niet beveiligd, dus het geheel is niet foolproof.</t>
  </si>
  <si>
    <t>Ik kan ook geen enkele garantie geven of aansprakelijkheid aanvaarden.</t>
  </si>
  <si>
    <t>Let op: er zijn in totaal 11 werkbladen. Gebruik de pijltjestoetsen links onderaan om ze te kunnen bereiken. Je kunt ook de schuifbalk korter maken door het smalle blokje rechts van het meest rechtse werkbladknopje, onder aan het scherm, te slepen.</t>
  </si>
  <si>
    <t>Uitgangspunten</t>
  </si>
  <si>
    <t>Opmerkingen</t>
  </si>
  <si>
    <t>Ja, het kan allemaal nog veel mooier met excel.</t>
  </si>
  <si>
    <t>Er zijn de volgende aannames gemaakt, welke in de berekeningen worden betrokken:</t>
  </si>
  <si>
    <t>Ja, het kan allemaal nog beter benaderd worden.</t>
  </si>
  <si>
    <t>Ja, het kan ook publieksvriendelijker.</t>
  </si>
  <si>
    <t>1. De energie die een fietser levert wordt besteed aan:</t>
  </si>
  <si>
    <t>Ja, ik zou alles kunnen beveiligen.</t>
  </si>
  <si>
    <t>a. Aerodynamische wrijving die op zijn beurt weer afhankelijk is van:</t>
  </si>
  <si>
    <t>Ja, het is lastig om de eindsnelheid op een helling voldoende nauwkeurig te meten (+/- 1 km/u).</t>
  </si>
  <si>
    <t>a1. De cw-waarde van de fietser als geheel. Deze waarde wordt met behulp van het werkblad Gegevens bepaald.</t>
  </si>
  <si>
    <t>Ja, om de grafieken leuker te maken moet je ze zelf aanpassen.</t>
  </si>
  <si>
    <t>a2. De snelheid van de fietser.</t>
  </si>
  <si>
    <t>a3. De heersende windsterkte en richting van de wind. (het programma houdt rekening met het feit dat de schijnbare windrichting als gevolg van snelheid anders is)</t>
  </si>
  <si>
    <t>b. De wrijving van de fiets: aandrijfsysteem en diverse lagers. Deze factor is vrij eenvoudig gehouden door aan te nemen dat het hier gaat om een constante kracht, onafhankelijk van de snelheid, maar wel afhankelijk van het fietstype. In het werkblad Gege</t>
  </si>
  <si>
    <t>c. Het overwinnen van een helling. Bij een negatieve helling - een afdaling - komt de energie ten goede aan de fietser!</t>
  </si>
  <si>
    <t>d. Het creeren van snelheid.</t>
  </si>
  <si>
    <t>2. Er is geen rekening gehouden met het rendement van het aandrijfsysteem, tenzij dat is aangegeven. Vermogens worden dus verondersteld aan de achteras te zijn aangegeven. Typische rendementen zijn in de orde van 85% voor een stadsfiets tot 95% voor een g</t>
  </si>
  <si>
    <t>Dat had ik inderdaad nog beter kunnen verwerken.</t>
  </si>
  <si>
    <t>3. In sommige werkbladen is een rendement opgenomen. Hiermee wordt bedoeld het rendement van het menselijk lichaam om energie uit de voeding om te zetten naar energie aan pedalen. Gegevens zijn ontleend aan onderzoeken vermeld in het boek Bicycling Scienc</t>
  </si>
  <si>
    <t>Deze formule is niet echt subtiel en is - onterecht - voor iedereen gelijk gesteld.</t>
  </si>
  <si>
    <t>4. In de berekeningen wordt verdisconteerd dat een fietser van de zijkant meer wind vangt dat recht van voren of van achteren. Het verband is geschat op sinusvormig, met een maximum van 2x de waarde van recht van voren op 90 graden.</t>
  </si>
  <si>
    <t>Dit is inderdaad niet door mij bewezen.</t>
  </si>
  <si>
    <t>Gegevens</t>
  </si>
  <si>
    <t xml:space="preserve">In de geel gekleurde vakjes dient u uw gegevens  in te vullen </t>
  </si>
  <si>
    <t>Voor uitleg zie het werkblad "Uitgangspunten"</t>
  </si>
  <si>
    <t>Resultaten van berekeningen</t>
  </si>
  <si>
    <t>Bepaling wrijving:</t>
  </si>
  <si>
    <t>Heeft u een:</t>
  </si>
  <si>
    <t>A.u.b. 1x "ja" invullen!</t>
  </si>
  <si>
    <t>Studentenbak:</t>
  </si>
  <si>
    <t>nee</t>
  </si>
  <si>
    <t>Gewone fiets</t>
  </si>
  <si>
    <t>Vrij snelle fiets:</t>
  </si>
  <si>
    <t>ja</t>
  </si>
  <si>
    <t>Erg snelle fiets:</t>
  </si>
  <si>
    <t>Wrijving:</t>
  </si>
  <si>
    <t>[N]</t>
  </si>
  <si>
    <t>Bepaling Cw:</t>
  </si>
  <si>
    <t>Kies een lange, rechte, en liefst steile, helling met een bekend percentage. Fiets er bij windstil weer, met een aanloop, maar uiteindelijk zonder meetrappen vanaf en let op hoe snel dat gaat. De St. Pietsersberg (Luikerweg) is 7,25%.</t>
  </si>
  <si>
    <t>Eindsnelheid</t>
  </si>
  <si>
    <t>km/h</t>
  </si>
  <si>
    <t>[m/s]</t>
  </si>
  <si>
    <t>Gewicht fiets + berijder + kleding + bagage</t>
  </si>
  <si>
    <t>kg</t>
  </si>
  <si>
    <t>Zwaartekrachtsversnelling (op aarde is die altijd 9,81)</t>
  </si>
  <si>
    <t>m/ss</t>
  </si>
  <si>
    <t>Helling (positieve waarde invullen):</t>
  </si>
  <si>
    <t>%</t>
  </si>
  <si>
    <t>[-]</t>
  </si>
  <si>
    <t>Deze waarde wordt verder gebruikt</t>
  </si>
  <si>
    <t>Let op: de meting van de eindsnelheid heeft grote invloed op alle verdere resultaten. Hij zou met een maximale afwijking van 1 km/u gemeten moeten worden.</t>
  </si>
  <si>
    <t>De eindsnelheid is niet alleen afhankelijk van de fiets en bijv. de druk in de banden, maar vooral van de kleding die de berijder draagt.</t>
  </si>
  <si>
    <t>=========</t>
  </si>
  <si>
    <t>Energieverbruik als functie van de snelheid</t>
  </si>
  <si>
    <t>Benodigde extra gegevens voor deze situatie</t>
  </si>
  <si>
    <t>In de geel gekleurde vakjes dient u uw gegevens  in te vullen, dit geldt voor alle werkbladen.</t>
  </si>
  <si>
    <t>Toelichtingen</t>
  </si>
  <si>
    <t>Berekend:</t>
  </si>
  <si>
    <t>Wind:</t>
  </si>
  <si>
    <t>Beaufort</t>
  </si>
  <si>
    <t>Windhoek:</t>
  </si>
  <si>
    <t>0 = frontaal, 90 = opzij</t>
  </si>
  <si>
    <t>[rad]</t>
  </si>
  <si>
    <t>180 = van achteren</t>
  </si>
  <si>
    <t>Helling:</t>
  </si>
  <si>
    <t>Negatief is een afdaling</t>
  </si>
  <si>
    <t>Snelheid</t>
  </si>
  <si>
    <t>Vf</t>
  </si>
  <si>
    <t>Vermogen</t>
  </si>
  <si>
    <t>Rendement</t>
  </si>
  <si>
    <t>Energie-</t>
  </si>
  <si>
    <t>Vermogen: aan achterwiel</t>
  </si>
  <si>
    <t>[km/uur]</t>
  </si>
  <si>
    <t>[Watt]</t>
  </si>
  <si>
    <t>verbruik</t>
  </si>
  <si>
    <t>Energieverbruik: van lichaam</t>
  </si>
  <si>
    <t>[kJ/km]</t>
  </si>
  <si>
    <t>Waardes in rood</t>
  </si>
  <si>
    <t>Zie nu de werkbladen</t>
  </si>
  <si>
    <t>mogen eventeel</t>
  </si>
  <si>
    <t>Grafiek 1 en</t>
  </si>
  <si>
    <t>aangepast worden.</t>
  </si>
  <si>
    <t>Grafiek 2 !!!</t>
  </si>
  <si>
    <t>De tabel is te verlengen m.b.v. Edit, Fill, Down</t>
  </si>
  <si>
    <t>Simulatie per seconde, vermogen en helling continu in te vullen</t>
  </si>
  <si>
    <t>Gegevens onttrokken aan voorgaande sheets:</t>
  </si>
  <si>
    <t>[kg]</t>
  </si>
  <si>
    <t>Je kunt deze waardes hier eventueel veranderen.</t>
  </si>
  <si>
    <t>g:</t>
  </si>
  <si>
    <t>[m/ss]</t>
  </si>
  <si>
    <t>Pas op: je zou dan wel formules permanent</t>
  </si>
  <si>
    <t>[Bft]</t>
  </si>
  <si>
    <t>kwijt kunnen raken. Kopieer de file eerst</t>
  </si>
  <si>
    <t>onder een andere naam.</t>
  </si>
  <si>
    <t>Increment</t>
  </si>
  <si>
    <t>[seconden]</t>
  </si>
  <si>
    <t>Dit bepaalt de uiteindelijke nauwkeurigheid, maar ook de duur van de simulatie.</t>
  </si>
  <si>
    <t>tijdstip</t>
  </si>
  <si>
    <t>vermogen aan pion</t>
  </si>
  <si>
    <t>helling</t>
  </si>
  <si>
    <t>afstand</t>
  </si>
  <si>
    <t>snelheid</t>
  </si>
  <si>
    <t>Pf</t>
  </si>
  <si>
    <t>delta-v</t>
  </si>
  <si>
    <t>[sec]</t>
  </si>
  <si>
    <t>[watt]</t>
  </si>
  <si>
    <t>[%]</t>
  </si>
  <si>
    <t>[m]</t>
  </si>
  <si>
    <t>[km/h]</t>
  </si>
  <si>
    <t>Het is helaas noodzakelijk</t>
  </si>
  <si>
    <t>om een beginsnelheid</t>
  </si>
  <si>
    <t>ongelijk aan 0 in te voeren.</t>
  </si>
  <si>
    <t>Voor enige nauwkeurigheid</t>
  </si>
  <si>
    <t>Dient het increment in getal</t>
  </si>
  <si>
    <t>hier minimaal even groot te</t>
  </si>
  <si>
    <t>zijn als de beginsnelheid</t>
  </si>
  <si>
    <t>Zie nu het werkblad</t>
  </si>
  <si>
    <t>Grafiek 3 !!!</t>
  </si>
  <si>
    <t>Simulatie per meter, vermogen en helling continu in te vullen</t>
  </si>
  <si>
    <t>Gegevens onttrokken aan voorgaande werkbladen</t>
  </si>
  <si>
    <t>meter</t>
  </si>
  <si>
    <t>Helling</t>
  </si>
  <si>
    <t/>
  </si>
  <si>
    <t>Opmerkingen staan rechts van deze berekeningen &gt;&gt;&gt;&gt;</t>
  </si>
  <si>
    <t>Opm. 1</t>
  </si>
  <si>
    <t>Opm. 2</t>
  </si>
  <si>
    <t>Opm. 3</t>
  </si>
  <si>
    <t>Opm. 4</t>
  </si>
  <si>
    <t>Kijk na het invullen in Grafiek 4</t>
  </si>
  <si>
    <t>Opm. 1: Het vermogen wordt hier met een arbitraire formule berekend. Je mag er overheen schrijven.</t>
  </si>
  <si>
    <t>Plaats</t>
  </si>
  <si>
    <t>vermogen</t>
  </si>
  <si>
    <t>Duur</t>
  </si>
  <si>
    <t>Joules</t>
  </si>
  <si>
    <t>Opm. 2 De helling wordt hier uit het gele vakje overgenomen. Je mag hier overheen schrijven; om bijv een bestaande berg te beschrijven (per meter!).</t>
  </si>
  <si>
    <t>[s]</t>
  </si>
  <si>
    <t>[J/m/inc]</t>
  </si>
  <si>
    <t>cum.</t>
  </si>
  <si>
    <t>Opm. 3: Helaas is een vliegende start noodzakelijk</t>
  </si>
  <si>
    <t>Opm. 4: Getallen in blauw zijn t.b.v. de berekening</t>
  </si>
  <si>
    <t>Graag zelf m.b.v. Edit, Fill, Down langer maken; het maakt de file groter.</t>
  </si>
  <si>
    <t>Om de grafiek goed te krijgen moet je rijen ERTUSSEN zetten, en</t>
  </si>
  <si>
    <t>vervolgens de laatste rijen verwijderen</t>
  </si>
  <si>
    <t>[m/s}</t>
  </si>
  <si>
    <t>Samenvatting</t>
  </si>
  <si>
    <t>Bedoeling van deze sheet: zelf grafieken er uit halen om daarna te printen</t>
  </si>
  <si>
    <t>Uw fiets:</t>
  </si>
  <si>
    <t>(5=studentenbak, 4=gewoon, 3=snel, 2=erg snel)</t>
  </si>
  <si>
    <t>Het geheel weegt:</t>
  </si>
  <si>
    <t>De cw-waarde is bepaald door een helling af te rijden van:</t>
  </si>
  <si>
    <t>De eindsnelheid daarbij was:</t>
  </si>
  <si>
    <t>[km/u]</t>
  </si>
  <si>
    <t>De windkracht is:</t>
  </si>
  <si>
    <t>[Beaufort]</t>
  </si>
  <si>
    <t>De windrichting:</t>
  </si>
  <si>
    <t>[graden]</t>
  </si>
  <si>
    <t>(0= frontaal, 90=opzij, 180=van achteren)</t>
  </si>
  <si>
    <t>De helling bedraagt:</t>
  </si>
  <si>
    <t>(omlaag=negatief)</t>
  </si>
  <si>
    <t>Nu gelden grafiek 1 en 2</t>
  </si>
  <si>
    <t>Voor de simulatiegegevens ingevuld in "per seconde" geldt bovendien:</t>
  </si>
  <si>
    <t>&gt;&gt;&gt; verder naar beneden scrollen &gt;&gt;&gt;</t>
  </si>
  <si>
    <t>Voor de simulatiegegevens ingevuld in "per meter" geldt bovendien:</t>
  </si>
  <si>
    <t>Copyright Leon Poels. Niet zonder toestemming herpubliceren!</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</si>
</sst>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fl&quot;\ #,##0;\-&quot;fl&quot;\ #,##0"/>
    <numFmt numFmtId="171" formatCode="&quot;fl&quot;\ #,##0;[Red]\-&quot;fl&quot;\ #,##0"/>
    <numFmt numFmtId="172" formatCode="&quot;fl&quot;\ #,##0.00;\-&quot;fl&quot;\ #,##0.00"/>
    <numFmt numFmtId="173" formatCode="&quot;fl&quot;\ #,##0.00;[Red]\-&quot;fl&quot;\ #,##0.00"/>
    <numFmt numFmtId="174" formatCode="_-&quot;fl&quot;\ * #,##0_-;\-&quot;fl&quot;\ * #,##0_-;_-&quot;fl&quot;\ * &quot;-&quot;_-;_-@_-"/>
    <numFmt numFmtId="175" formatCode="_-* #,##0_-;\-* #,##0_-;_-* &quot;-&quot;_-;_-@_-"/>
    <numFmt numFmtId="176" formatCode="_-&quot;fl&quot;\ * #,##0.00_-;\-&quot;fl&quot;\ * #,##0.00_-;_-&quot;fl&quot;\ * &quot;-&quot;??_-;_-@_-"/>
    <numFmt numFmtId="177" formatCode="_-* #,##0.00_-;\-* #,##0.00_-;_-* &quot;-&quot;??_-;_-@_-"/>
    <numFmt numFmtId="178" formatCode="&quot;F&quot;\ #,##0;&quot;F&quot;\ \-#,##0"/>
    <numFmt numFmtId="179" formatCode="&quot;F&quot;\ #,##0;[Red]&quot;F&quot;\ \-#,##0"/>
    <numFmt numFmtId="180" formatCode="&quot;F&quot;\ #,##0.00;&quot;F&quot;\ \-#,##0.00"/>
    <numFmt numFmtId="181" formatCode="&quot;F&quot;\ #,##0.00;[Red]&quot;F&quot;\ \-#,##0.00"/>
    <numFmt numFmtId="182" formatCode="_ &quot;F&quot;\ * #,##0_ ;_ &quot;F&quot;\ * \-#,##0_ ;_ &quot;F&quot;\ * &quot;-&quot;_ ;_ @_ "/>
    <numFmt numFmtId="183" formatCode="_ * #,##0_ ;_ * \-#,##0_ ;_ * &quot;-&quot;_ ;_ @_ "/>
    <numFmt numFmtId="184" formatCode="_ &quot;F&quot;\ * #,##0.00_ ;_ &quot;F&quot;\ * \-#,##0.00_ ;_ &quot;F&quot;\ * &quot;-&quot;??_ ;_ @_ "/>
    <numFmt numFmtId="185" formatCode="_ * #,##0.00_ ;_ * \-#,##0.00_ ;_ * &quot;-&quot;??_ ;_ @_ "/>
    <numFmt numFmtId="186" formatCode="General_)"/>
  </numFmts>
  <fonts count="34">
    <font>
      <sz val="10"/>
      <name val="Courier"/>
      <family val="0"/>
    </font>
    <font>
      <b/>
      <sz val="10"/>
      <name val="Arial"/>
      <family val="0"/>
    </font>
    <font>
      <i/>
      <sz val="10"/>
      <name val="Arial"/>
      <family val="0"/>
    </font>
    <font>
      <b/>
      <i/>
      <sz val="10"/>
      <name val="Arial"/>
      <family val="0"/>
    </font>
    <font>
      <sz val="10"/>
      <name val="Arial"/>
      <family val="0"/>
    </font>
    <font>
      <b/>
      <sz val="12"/>
      <name val="Arial"/>
      <family val="0"/>
    </font>
    <font>
      <b/>
      <u val="single"/>
      <sz val="12"/>
      <name val="Arial"/>
      <family val="2"/>
    </font>
    <font>
      <b/>
      <i/>
      <sz val="12"/>
      <name val="Arial"/>
      <family val="2"/>
    </font>
    <font>
      <b/>
      <sz val="14"/>
      <name val="Times New Roman"/>
      <family val="1"/>
    </font>
    <font>
      <sz val="10"/>
      <name val="Times New Roman"/>
      <family val="0"/>
    </font>
    <font>
      <b/>
      <sz val="10"/>
      <name val="Times New Roman"/>
      <family val="0"/>
    </font>
    <font>
      <sz val="8"/>
      <name val="Times New Roman"/>
      <family val="1"/>
    </font>
    <font>
      <b/>
      <sz val="12"/>
      <name val="Times New Roman"/>
      <family val="0"/>
    </font>
    <font>
      <b/>
      <u val="single"/>
      <sz val="8"/>
      <name val="Arial"/>
      <family val="2"/>
    </font>
    <font>
      <b/>
      <sz val="8"/>
      <name val="Arial"/>
      <family val="2"/>
    </font>
    <font>
      <b/>
      <i/>
      <sz val="8"/>
      <name val="Arial"/>
      <family val="2"/>
    </font>
    <font>
      <b/>
      <sz val="8"/>
      <name val="Times New Roman"/>
      <family val="1"/>
    </font>
    <font>
      <sz val="12"/>
      <name val="Times New Roman"/>
      <family val="0"/>
    </font>
    <font>
      <sz val="17"/>
      <name val="Times New Roman"/>
      <family val="0"/>
    </font>
    <font>
      <b/>
      <sz val="8.75"/>
      <name val="Times New Roman"/>
      <family val="1"/>
    </font>
    <font>
      <sz val="8"/>
      <name val="Arial"/>
      <family val="2"/>
    </font>
    <font>
      <u val="single"/>
      <sz val="10"/>
      <color indexed="12"/>
      <name val="Courier"/>
      <family val="0"/>
    </font>
    <font>
      <b/>
      <sz val="16"/>
      <name val="Arial"/>
      <family val="2"/>
    </font>
    <font>
      <sz val="12"/>
      <name val="Arial"/>
      <family val="2"/>
    </font>
    <font>
      <u val="single"/>
      <sz val="10"/>
      <color indexed="12"/>
      <name val="Arial"/>
      <family val="2"/>
    </font>
    <font>
      <sz val="10"/>
      <color indexed="10"/>
      <name val="Arial"/>
      <family val="2"/>
    </font>
    <font>
      <sz val="10"/>
      <color indexed="22"/>
      <name val="Arial"/>
      <family val="2"/>
    </font>
    <font>
      <u val="single"/>
      <sz val="10"/>
      <color indexed="36"/>
      <name val="Courier"/>
      <family val="0"/>
    </font>
    <font>
      <b/>
      <sz val="12"/>
      <color indexed="8"/>
      <name val="Arial"/>
      <family val="2"/>
    </font>
    <font>
      <sz val="10"/>
      <color indexed="8"/>
      <name val="Arial"/>
      <family val="2"/>
    </font>
    <font>
      <sz val="10"/>
      <color indexed="12"/>
      <name val="Arial"/>
      <family val="2"/>
    </font>
    <font>
      <sz val="8"/>
      <color indexed="8"/>
      <name val="Arial"/>
      <family val="2"/>
    </font>
    <font>
      <b/>
      <sz val="10"/>
      <color indexed="8"/>
      <name val="Arial"/>
      <family val="2"/>
    </font>
    <font>
      <sz val="10"/>
      <color indexed="40"/>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18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182" fontId="4" fillId="0" borderId="0" applyFon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0" fillId="0" borderId="0">
      <alignment/>
      <protection/>
    </xf>
    <xf numFmtId="9" fontId="4" fillId="0" borderId="0" applyFont="0" applyFill="0" applyBorder="0" applyAlignment="0" applyProtection="0"/>
  </cellStyleXfs>
  <cellXfs count="113">
    <xf numFmtId="186" fontId="0" fillId="0" borderId="0" xfId="0" applyAlignment="1">
      <alignment/>
    </xf>
    <xf numFmtId="186" fontId="22" fillId="0" borderId="0" xfId="0" applyFont="1" applyAlignment="1">
      <alignment wrapText="1"/>
    </xf>
    <xf numFmtId="186" fontId="23" fillId="0" borderId="0" xfId="0" applyFont="1" applyAlignment="1">
      <alignment/>
    </xf>
    <xf numFmtId="186" fontId="24" fillId="0" borderId="0" xfId="20" applyFont="1" applyAlignment="1">
      <alignment wrapText="1"/>
    </xf>
    <xf numFmtId="186" fontId="23" fillId="0" borderId="0" xfId="0" applyFont="1" applyAlignment="1">
      <alignment wrapText="1"/>
    </xf>
    <xf numFmtId="186" fontId="25" fillId="0" borderId="0" xfId="0" applyFont="1" applyAlignment="1">
      <alignment wrapText="1"/>
    </xf>
    <xf numFmtId="186" fontId="4" fillId="0" borderId="0" xfId="0" applyFont="1" applyAlignment="1">
      <alignment/>
    </xf>
    <xf numFmtId="186" fontId="1" fillId="0" borderId="0" xfId="0" applyFont="1" applyAlignment="1">
      <alignment vertical="top" wrapText="1"/>
    </xf>
    <xf numFmtId="186" fontId="26" fillId="2" borderId="0" xfId="0" applyFont="1" applyFill="1" applyAlignment="1">
      <alignment vertical="top"/>
    </xf>
    <xf numFmtId="186" fontId="4" fillId="0" borderId="0" xfId="0" applyFont="1" applyAlignment="1">
      <alignment vertical="top"/>
    </xf>
    <xf numFmtId="186" fontId="4" fillId="0" borderId="0" xfId="0" applyFont="1" applyAlignment="1">
      <alignment vertical="top" wrapText="1"/>
    </xf>
    <xf numFmtId="186" fontId="4" fillId="0" borderId="0" xfId="0" applyFont="1" applyAlignment="1">
      <alignment horizontal="left" vertical="top" wrapText="1"/>
    </xf>
    <xf numFmtId="186" fontId="4" fillId="0" borderId="0" xfId="0" applyFont="1" applyAlignment="1">
      <alignment wrapText="1"/>
    </xf>
    <xf numFmtId="186" fontId="4" fillId="3" borderId="1" xfId="0" applyFont="1" applyFill="1" applyBorder="1" applyAlignment="1">
      <alignment wrapText="1"/>
    </xf>
    <xf numFmtId="186" fontId="28" fillId="0" borderId="0" xfId="0" applyNumberFormat="1" applyFont="1" applyAlignment="1" applyProtection="1">
      <alignment horizontal="left"/>
      <protection locked="0"/>
    </xf>
    <xf numFmtId="186" fontId="29" fillId="0" borderId="0" xfId="0" applyFont="1" applyAlignment="1">
      <alignment/>
    </xf>
    <xf numFmtId="186" fontId="29" fillId="2" borderId="0" xfId="0" applyFont="1" applyFill="1" applyAlignment="1">
      <alignment/>
    </xf>
    <xf numFmtId="186" fontId="29" fillId="0" borderId="0" xfId="0" applyNumberFormat="1" applyFont="1" applyAlignment="1" applyProtection="1">
      <alignment horizontal="left"/>
      <protection locked="0"/>
    </xf>
    <xf numFmtId="186" fontId="29" fillId="2" borderId="0" xfId="0" applyNumberFormat="1" applyFont="1" applyFill="1" applyAlignment="1" applyProtection="1">
      <alignment horizontal="left"/>
      <protection locked="0"/>
    </xf>
    <xf numFmtId="186" fontId="4" fillId="2" borderId="0" xfId="0" applyFont="1" applyFill="1" applyAlignment="1">
      <alignment/>
    </xf>
    <xf numFmtId="186" fontId="29" fillId="4" borderId="2" xfId="0" applyNumberFormat="1" applyFont="1" applyFill="1" applyBorder="1" applyAlignment="1" applyProtection="1">
      <alignment horizontal="right"/>
      <protection locked="0"/>
    </xf>
    <xf numFmtId="186" fontId="29" fillId="4" borderId="3" xfId="0" applyNumberFormat="1" applyFont="1" applyFill="1" applyBorder="1" applyAlignment="1" applyProtection="1">
      <alignment horizontal="right"/>
      <protection locked="0"/>
    </xf>
    <xf numFmtId="186" fontId="29" fillId="0" borderId="0" xfId="0" applyNumberFormat="1" applyFont="1" applyAlignment="1" applyProtection="1">
      <alignment/>
      <protection locked="0"/>
    </xf>
    <xf numFmtId="186" fontId="29" fillId="4" borderId="4" xfId="0" applyNumberFormat="1" applyFont="1" applyFill="1" applyBorder="1" applyAlignment="1" applyProtection="1">
      <alignment horizontal="right"/>
      <protection locked="0"/>
    </xf>
    <xf numFmtId="186" fontId="30" fillId="2" borderId="0" xfId="0" applyNumberFormat="1" applyFont="1" applyFill="1" applyAlignment="1" applyProtection="1">
      <alignment horizontal="left"/>
      <protection locked="0"/>
    </xf>
    <xf numFmtId="186" fontId="31" fillId="0" borderId="0" xfId="0" applyNumberFormat="1" applyFont="1" applyAlignment="1" applyProtection="1">
      <alignment horizontal="left" vertical="top" wrapText="1"/>
      <protection locked="0"/>
    </xf>
    <xf numFmtId="186" fontId="29" fillId="4" borderId="2" xfId="0" applyNumberFormat="1" applyFont="1" applyFill="1" applyBorder="1" applyAlignment="1" applyProtection="1">
      <alignment/>
      <protection locked="0"/>
    </xf>
    <xf numFmtId="186" fontId="29" fillId="0" borderId="0" xfId="0" applyNumberFormat="1" applyFont="1" applyAlignment="1" applyProtection="1">
      <alignment horizontal="left" wrapText="1"/>
      <protection locked="0"/>
    </xf>
    <xf numFmtId="186" fontId="29" fillId="4" borderId="4" xfId="0" applyNumberFormat="1" applyFont="1" applyFill="1" applyBorder="1" applyAlignment="1" applyProtection="1">
      <alignment/>
      <protection locked="0"/>
    </xf>
    <xf numFmtId="186" fontId="29" fillId="4" borderId="1" xfId="0" applyNumberFormat="1" applyFont="1" applyFill="1" applyBorder="1" applyAlignment="1" applyProtection="1">
      <alignment/>
      <protection locked="0"/>
    </xf>
    <xf numFmtId="186" fontId="29" fillId="0" borderId="0" xfId="0" applyNumberFormat="1" applyFont="1" applyFill="1" applyAlignment="1" applyProtection="1">
      <alignment/>
      <protection locked="0"/>
    </xf>
    <xf numFmtId="186" fontId="20" fillId="5" borderId="0" xfId="0" applyFont="1" applyFill="1" applyAlignment="1">
      <alignment/>
    </xf>
    <xf numFmtId="186" fontId="4" fillId="5" borderId="0" xfId="0" applyFont="1" applyFill="1" applyAlignment="1">
      <alignment/>
    </xf>
    <xf numFmtId="186" fontId="4" fillId="0" borderId="0" xfId="0" applyFont="1" applyFill="1" applyAlignment="1">
      <alignment/>
    </xf>
    <xf numFmtId="186" fontId="30" fillId="0" borderId="0" xfId="0" applyNumberFormat="1" applyFont="1" applyAlignment="1" applyProtection="1">
      <alignment horizontal="left"/>
      <protection locked="0"/>
    </xf>
    <xf numFmtId="186" fontId="30" fillId="0" borderId="0" xfId="0" applyNumberFormat="1" applyFont="1" applyAlignment="1" applyProtection="1">
      <alignment/>
      <protection locked="0"/>
    </xf>
    <xf numFmtId="186" fontId="30" fillId="0" borderId="0" xfId="0" applyNumberFormat="1" applyFont="1" applyFill="1" applyAlignment="1" applyProtection="1">
      <alignment/>
      <protection locked="0"/>
    </xf>
    <xf numFmtId="186" fontId="5" fillId="0" borderId="0" xfId="0" applyFont="1" applyAlignment="1">
      <alignment/>
    </xf>
    <xf numFmtId="186" fontId="32" fillId="0" borderId="0" xfId="0" applyNumberFormat="1" applyFont="1" applyAlignment="1" applyProtection="1">
      <alignment horizontal="left"/>
      <protection locked="0"/>
    </xf>
    <xf numFmtId="186" fontId="29" fillId="0" borderId="5" xfId="0" applyNumberFormat="1" applyFont="1" applyBorder="1" applyAlignment="1" applyProtection="1">
      <alignment horizontal="left"/>
      <protection locked="0"/>
    </xf>
    <xf numFmtId="186" fontId="29" fillId="0" borderId="6" xfId="0" applyFont="1" applyBorder="1" applyAlignment="1">
      <alignment/>
    </xf>
    <xf numFmtId="186" fontId="29" fillId="0" borderId="7" xfId="0" applyFont="1" applyBorder="1" applyAlignment="1">
      <alignment/>
    </xf>
    <xf numFmtId="186" fontId="29" fillId="0" borderId="5" xfId="0" applyFont="1" applyBorder="1" applyAlignment="1">
      <alignment/>
    </xf>
    <xf numFmtId="186" fontId="29" fillId="0" borderId="8" xfId="0" applyNumberFormat="1" applyFont="1" applyBorder="1" applyAlignment="1" applyProtection="1">
      <alignment horizontal="left"/>
      <protection locked="0"/>
    </xf>
    <xf numFmtId="186" fontId="29" fillId="0" borderId="9" xfId="0" applyNumberFormat="1" applyFont="1" applyBorder="1" applyAlignment="1" applyProtection="1">
      <alignment horizontal="left"/>
      <protection locked="0"/>
    </xf>
    <xf numFmtId="186" fontId="4" fillId="0" borderId="8" xfId="0" applyFont="1" applyBorder="1" applyAlignment="1">
      <alignment/>
    </xf>
    <xf numFmtId="186" fontId="4" fillId="0" borderId="0" xfId="0" applyFont="1" applyBorder="1" applyAlignment="1">
      <alignment/>
    </xf>
    <xf numFmtId="186" fontId="4" fillId="0" borderId="9" xfId="0" applyFont="1" applyBorder="1" applyAlignment="1">
      <alignment/>
    </xf>
    <xf numFmtId="186" fontId="29" fillId="0" borderId="0" xfId="0" applyNumberFormat="1" applyFont="1" applyBorder="1" applyAlignment="1" applyProtection="1">
      <alignment/>
      <protection locked="0"/>
    </xf>
    <xf numFmtId="186" fontId="29" fillId="0" borderId="9" xfId="0" applyNumberFormat="1" applyFont="1" applyBorder="1" applyAlignment="1" applyProtection="1">
      <alignment/>
      <protection locked="0"/>
    </xf>
    <xf numFmtId="186" fontId="29" fillId="0" borderId="8" xfId="0" applyNumberFormat="1" applyFont="1" applyBorder="1" applyAlignment="1" applyProtection="1">
      <alignment/>
      <protection locked="0"/>
    </xf>
    <xf numFmtId="186" fontId="29" fillId="0" borderId="0" xfId="0" applyNumberFormat="1" applyFont="1" applyFill="1" applyBorder="1" applyAlignment="1" applyProtection="1">
      <alignment/>
      <protection locked="0"/>
    </xf>
    <xf numFmtId="186" fontId="29" fillId="0" borderId="10" xfId="0" applyNumberFormat="1" applyFont="1" applyBorder="1" applyAlignment="1" applyProtection="1">
      <alignment horizontal="left"/>
      <protection locked="0"/>
    </xf>
    <xf numFmtId="186" fontId="29" fillId="0" borderId="11" xfId="0" applyNumberFormat="1" applyFont="1" applyBorder="1" applyAlignment="1" applyProtection="1">
      <alignment horizontal="left"/>
      <protection locked="0"/>
    </xf>
    <xf numFmtId="186" fontId="29" fillId="0" borderId="10" xfId="0" applyFont="1" applyBorder="1" applyAlignment="1">
      <alignment/>
    </xf>
    <xf numFmtId="186" fontId="29" fillId="0" borderId="12" xfId="0" applyFont="1" applyBorder="1" applyAlignment="1">
      <alignment/>
    </xf>
    <xf numFmtId="186" fontId="29" fillId="0" borderId="11" xfId="0" applyFont="1" applyBorder="1" applyAlignment="1">
      <alignment/>
    </xf>
    <xf numFmtId="186" fontId="25" fillId="0" borderId="0" xfId="0" applyNumberFormat="1" applyFont="1" applyFill="1" applyAlignment="1" applyProtection="1">
      <alignment/>
      <protection locked="0"/>
    </xf>
    <xf numFmtId="186" fontId="4" fillId="3" borderId="5" xfId="0" applyFont="1" applyFill="1" applyBorder="1" applyAlignment="1">
      <alignment/>
    </xf>
    <xf numFmtId="186" fontId="4" fillId="3" borderId="7" xfId="0" applyFont="1" applyFill="1" applyBorder="1" applyAlignment="1">
      <alignment/>
    </xf>
    <xf numFmtId="186" fontId="4" fillId="3" borderId="8" xfId="0" applyFont="1" applyFill="1" applyBorder="1" applyAlignment="1">
      <alignment/>
    </xf>
    <xf numFmtId="186" fontId="4" fillId="3" borderId="9" xfId="0" applyFont="1" applyFill="1" applyBorder="1" applyAlignment="1">
      <alignment/>
    </xf>
    <xf numFmtId="186" fontId="4" fillId="3" borderId="10" xfId="0" applyFont="1" applyFill="1" applyBorder="1" applyAlignment="1">
      <alignment/>
    </xf>
    <xf numFmtId="186" fontId="4" fillId="3" borderId="11" xfId="0" applyFont="1" applyFill="1" applyBorder="1" applyAlignment="1">
      <alignment/>
    </xf>
    <xf numFmtId="0" fontId="5" fillId="0" borderId="0" xfId="21" applyFont="1" applyAlignment="1" applyProtection="1">
      <alignment horizontal="left"/>
      <protection locked="0"/>
    </xf>
    <xf numFmtId="0" fontId="4" fillId="0" borderId="0" xfId="21" applyFont="1">
      <alignment/>
      <protection/>
    </xf>
    <xf numFmtId="0" fontId="4" fillId="0" borderId="0" xfId="21" applyFont="1" applyAlignment="1" applyProtection="1">
      <alignment horizontal="left"/>
      <protection locked="0"/>
    </xf>
    <xf numFmtId="0" fontId="4" fillId="2" borderId="0" xfId="21" applyFont="1" applyFill="1" applyAlignment="1" applyProtection="1">
      <alignment horizontal="left"/>
      <protection locked="0"/>
    </xf>
    <xf numFmtId="0" fontId="4" fillId="2" borderId="0" xfId="21" applyFont="1" applyFill="1">
      <alignment/>
      <protection/>
    </xf>
    <xf numFmtId="0" fontId="4" fillId="0" borderId="0" xfId="21" applyFont="1" applyFill="1">
      <alignment/>
      <protection/>
    </xf>
    <xf numFmtId="0" fontId="4" fillId="0" borderId="0" xfId="21" applyFont="1" applyProtection="1">
      <alignment/>
      <protection locked="0"/>
    </xf>
    <xf numFmtId="0" fontId="4" fillId="0" borderId="0" xfId="21" applyFont="1" applyAlignment="1" applyProtection="1" quotePrefix="1">
      <alignment horizontal="left"/>
      <protection locked="0"/>
    </xf>
    <xf numFmtId="0" fontId="4" fillId="3" borderId="5" xfId="21" applyFont="1" applyFill="1" applyBorder="1">
      <alignment/>
      <protection/>
    </xf>
    <xf numFmtId="0" fontId="4" fillId="3" borderId="6" xfId="21" applyFont="1" applyFill="1" applyBorder="1">
      <alignment/>
      <protection/>
    </xf>
    <xf numFmtId="0" fontId="4" fillId="3" borderId="7" xfId="21" applyFont="1" applyFill="1" applyBorder="1">
      <alignment/>
      <protection/>
    </xf>
    <xf numFmtId="0" fontId="4" fillId="3" borderId="8" xfId="21" applyFont="1" applyFill="1" applyBorder="1">
      <alignment/>
      <protection/>
    </xf>
    <xf numFmtId="0" fontId="4" fillId="3" borderId="0" xfId="21" applyFont="1" applyFill="1" applyBorder="1">
      <alignment/>
      <protection/>
    </xf>
    <xf numFmtId="0" fontId="4" fillId="3" borderId="9" xfId="21" applyFont="1" applyFill="1" applyBorder="1">
      <alignment/>
      <protection/>
    </xf>
    <xf numFmtId="0" fontId="4" fillId="3" borderId="10" xfId="21" applyFont="1" applyFill="1" applyBorder="1">
      <alignment/>
      <protection/>
    </xf>
    <xf numFmtId="0" fontId="4" fillId="3" borderId="12" xfId="21" applyFont="1" applyFill="1" applyBorder="1">
      <alignment/>
      <protection/>
    </xf>
    <xf numFmtId="0" fontId="4" fillId="3" borderId="11" xfId="21" applyFont="1" applyFill="1" applyBorder="1">
      <alignment/>
      <protection/>
    </xf>
    <xf numFmtId="0" fontId="4" fillId="4" borderId="1" xfId="21" applyFont="1" applyFill="1" applyBorder="1" applyProtection="1">
      <alignment/>
      <protection locked="0"/>
    </xf>
    <xf numFmtId="0" fontId="4" fillId="0" borderId="0" xfId="21" applyFont="1" applyAlignment="1" applyProtection="1">
      <alignment horizontal="right"/>
      <protection locked="0"/>
    </xf>
    <xf numFmtId="0" fontId="4" fillId="0" borderId="0" xfId="21" applyFont="1" applyAlignment="1" applyProtection="1">
      <alignment horizontal="right" wrapText="1"/>
      <protection locked="0"/>
    </xf>
    <xf numFmtId="0" fontId="4" fillId="0" borderId="0" xfId="21" applyFont="1" applyAlignment="1">
      <alignment horizontal="right"/>
      <protection/>
    </xf>
    <xf numFmtId="0" fontId="4" fillId="4" borderId="0" xfId="21" applyFont="1" applyFill="1" applyProtection="1">
      <alignment/>
      <protection locked="0"/>
    </xf>
    <xf numFmtId="0" fontId="5" fillId="0" borderId="0" xfId="22" applyFont="1" applyAlignment="1" applyProtection="1">
      <alignment horizontal="left"/>
      <protection locked="0"/>
    </xf>
    <xf numFmtId="0" fontId="4" fillId="0" borderId="0" xfId="22" applyFont="1">
      <alignment/>
      <protection/>
    </xf>
    <xf numFmtId="0" fontId="4" fillId="0" borderId="0" xfId="22" applyFont="1" applyAlignment="1">
      <alignment horizontal="left" wrapText="1"/>
      <protection/>
    </xf>
    <xf numFmtId="0" fontId="4" fillId="2" borderId="0" xfId="22" applyFont="1" applyFill="1">
      <alignment/>
      <protection/>
    </xf>
    <xf numFmtId="0" fontId="4" fillId="2" borderId="0" xfId="22" applyFont="1" applyFill="1" applyAlignment="1">
      <alignment horizontal="left" wrapText="1"/>
      <protection/>
    </xf>
    <xf numFmtId="0" fontId="4" fillId="0" borderId="0" xfId="22" applyFont="1" applyAlignment="1" applyProtection="1">
      <alignment horizontal="left"/>
      <protection locked="0"/>
    </xf>
    <xf numFmtId="0" fontId="4" fillId="0" borderId="0" xfId="22" applyFont="1" applyAlignment="1" applyProtection="1" quotePrefix="1">
      <alignment horizontal="left"/>
      <protection locked="0"/>
    </xf>
    <xf numFmtId="0" fontId="4" fillId="0" borderId="0" xfId="22" applyFont="1" applyProtection="1">
      <alignment/>
      <protection locked="0"/>
    </xf>
    <xf numFmtId="0" fontId="4" fillId="2" borderId="0" xfId="22" applyFont="1" applyFill="1" applyAlignment="1" applyProtection="1">
      <alignment horizontal="left"/>
      <protection locked="0"/>
    </xf>
    <xf numFmtId="0" fontId="4" fillId="0" borderId="0" xfId="22" applyFont="1" applyBorder="1">
      <alignment/>
      <protection/>
    </xf>
    <xf numFmtId="0" fontId="4" fillId="4" borderId="1" xfId="22" applyFont="1" applyFill="1" applyBorder="1" applyProtection="1">
      <alignment/>
      <protection locked="0"/>
    </xf>
    <xf numFmtId="0" fontId="4" fillId="0" borderId="0" xfId="22" applyFont="1" applyBorder="1" applyProtection="1">
      <alignment/>
      <protection locked="0"/>
    </xf>
    <xf numFmtId="0" fontId="2" fillId="0" borderId="0" xfId="22" applyFont="1">
      <alignment/>
      <protection/>
    </xf>
    <xf numFmtId="0" fontId="2" fillId="0" borderId="0" xfId="22" applyFont="1" applyBorder="1">
      <alignment/>
      <protection/>
    </xf>
    <xf numFmtId="0" fontId="4" fillId="3" borderId="13" xfId="22" applyFont="1" applyFill="1" applyBorder="1" applyAlignment="1" applyProtection="1">
      <alignment horizontal="left"/>
      <protection locked="0"/>
    </xf>
    <xf numFmtId="0" fontId="4" fillId="3" borderId="14" xfId="22" applyFont="1" applyFill="1" applyBorder="1">
      <alignment/>
      <protection/>
    </xf>
    <xf numFmtId="0" fontId="4" fillId="3" borderId="15" xfId="22" applyFont="1" applyFill="1" applyBorder="1">
      <alignment/>
      <protection/>
    </xf>
    <xf numFmtId="0" fontId="4" fillId="0" borderId="0" xfId="22" applyFont="1" applyAlignment="1" applyProtection="1">
      <alignment horizontal="right"/>
      <protection locked="0"/>
    </xf>
    <xf numFmtId="0" fontId="4" fillId="0" borderId="0" xfId="22" applyFont="1" applyBorder="1" applyAlignment="1" applyProtection="1">
      <alignment horizontal="right"/>
      <protection locked="0"/>
    </xf>
    <xf numFmtId="0" fontId="4" fillId="0" borderId="0" xfId="22" applyFont="1" applyAlignment="1">
      <alignment horizontal="right"/>
      <protection/>
    </xf>
    <xf numFmtId="0" fontId="33" fillId="0" borderId="0" xfId="22" applyFont="1" applyProtection="1">
      <alignment/>
      <protection locked="0"/>
    </xf>
    <xf numFmtId="0" fontId="4" fillId="3" borderId="0" xfId="22" applyFont="1" applyFill="1" applyBorder="1" applyProtection="1">
      <alignment/>
      <protection locked="0"/>
    </xf>
    <xf numFmtId="0" fontId="4" fillId="0" borderId="0" xfId="22" applyFont="1" applyAlignment="1" applyProtection="1">
      <alignment horizontal="left" wrapText="1"/>
      <protection locked="0"/>
    </xf>
    <xf numFmtId="0" fontId="4" fillId="0" borderId="0" xfId="22" applyFont="1" applyBorder="1" applyAlignment="1" applyProtection="1">
      <alignment horizontal="left"/>
      <protection locked="0"/>
    </xf>
    <xf numFmtId="186" fontId="14" fillId="3" borderId="13" xfId="0" applyFont="1" applyFill="1" applyBorder="1" applyAlignment="1">
      <alignment/>
    </xf>
    <xf numFmtId="186" fontId="4" fillId="3" borderId="14" xfId="0" applyFont="1" applyFill="1" applyBorder="1" applyAlignment="1">
      <alignment/>
    </xf>
    <xf numFmtId="186" fontId="4" fillId="3" borderId="15" xfId="0"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F07" xfId="21"/>
    <cellStyle name="Normal_F08"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t>Energieverbruik als functie van de snelheid</a:t>
            </a:r>
            <a:r>
              <a:rPr lang="en-US" cap="none" sz="1200" b="1" i="0" u="none" baseline="0"/>
              <a:t>
(</a:t>
            </a:r>
            <a:r>
              <a:rPr lang="en-US" cap="none" sz="1200" b="1" i="1" u="none" baseline="0"/>
              <a:t>vermogen</a:t>
            </a:r>
            <a:r>
              <a:rPr lang="en-US" cap="none" sz="1200" b="1" i="0" u="none" baseline="0"/>
              <a:t> aan pion, </a:t>
            </a:r>
            <a:r>
              <a:rPr lang="en-US" cap="none" sz="1200" b="1" i="1" u="none" baseline="0"/>
              <a:t>energieverbruik</a:t>
            </a:r>
            <a:r>
              <a:rPr lang="en-US" cap="none" sz="1200" b="1" i="0" u="none" baseline="0"/>
              <a:t> van lichaam, gecorrigeerd naar
rendement als functie van vermogen aan pion)</a:t>
            </a:r>
          </a:p>
        </c:rich>
      </c:tx>
      <c:layout>
        <c:manualLayout>
          <c:xMode val="factor"/>
          <c:yMode val="factor"/>
          <c:x val="-0.018"/>
          <c:y val="-0.02025"/>
        </c:manualLayout>
      </c:layout>
      <c:spPr>
        <a:noFill/>
        <a:ln>
          <a:noFill/>
        </a:ln>
      </c:spPr>
    </c:title>
    <c:plotArea>
      <c:layout>
        <c:manualLayout>
          <c:xMode val="edge"/>
          <c:yMode val="edge"/>
          <c:x val="0.04025"/>
          <c:y val="0.1105"/>
          <c:w val="0.74325"/>
          <c:h val="0.824"/>
        </c:manualLayout>
      </c:layout>
      <c:scatterChart>
        <c:scatterStyle val="smooth"/>
        <c:varyColors val="0"/>
        <c:ser>
          <c:idx val="3"/>
          <c:order val="0"/>
          <c:tx>
            <c:strRef>
              <c:f>Snelheid!$E$13:$E$15</c:f>
              <c:strCache>
                <c:ptCount val="1"/>
                <c:pt idx="0">
                  <c:v>Vermogen [Watt]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Snelheid!$E$16:$E$65</c:f>
              <c:numCache>
                <c:ptCount val="50"/>
                <c:pt idx="0">
                  <c:v>0.8425720326340639</c:v>
                </c:pt>
                <c:pt idx="1">
                  <c:v>1.7405759514117727</c:v>
                </c:pt>
                <c:pt idx="2">
                  <c:v>2.7494434876468885</c:v>
                </c:pt>
                <c:pt idx="3">
                  <c:v>3.924606372653175</c:v>
                </c:pt>
                <c:pt idx="4">
                  <c:v>5.321496337744391</c:v>
                </c:pt>
                <c:pt idx="5">
                  <c:v>6.995545114234302</c:v>
                </c:pt>
                <c:pt idx="6">
                  <c:v>9.002184433436671</c:v>
                </c:pt>
                <c:pt idx="7">
                  <c:v>11.396846026665262</c:v>
                </c:pt>
                <c:pt idx="8">
                  <c:v>14.234961625233826</c:v>
                </c:pt>
                <c:pt idx="9">
                  <c:v>17.571962960456137</c:v>
                </c:pt>
                <c:pt idx="10">
                  <c:v>21.463281763645952</c:v>
                </c:pt>
                <c:pt idx="11">
                  <c:v>25.964349766117035</c:v>
                </c:pt>
                <c:pt idx="12">
                  <c:v>31.13059869918316</c:v>
                </c:pt>
                <c:pt idx="13">
                  <c:v>37.01746029415807</c:v>
                </c:pt>
                <c:pt idx="14">
                  <c:v>43.680366282355536</c:v>
                </c:pt>
                <c:pt idx="15">
                  <c:v>51.174748395089324</c:v>
                </c:pt>
                <c:pt idx="16">
                  <c:v>59.556038363673174</c:v>
                </c:pt>
                <c:pt idx="17">
                  <c:v>68.87966791942088</c:v>
                </c:pt>
                <c:pt idx="18">
                  <c:v>79.20106879364619</c:v>
                </c:pt>
                <c:pt idx="19">
                  <c:v>90.57567271766287</c:v>
                </c:pt>
                <c:pt idx="20">
                  <c:v>103.05891142278466</c:v>
                </c:pt>
                <c:pt idx="21">
                  <c:v>116.70621664032537</c:v>
                </c:pt>
                <c:pt idx="22">
                  <c:v>131.5730201015987</c:v>
                </c:pt>
                <c:pt idx="23">
                  <c:v>147.71475353791845</c:v>
                </c:pt>
                <c:pt idx="24">
                  <c:v>165.18684868059844</c:v>
                </c:pt>
                <c:pt idx="25">
                  <c:v>184.0447372609523</c:v>
                </c:pt>
                <c:pt idx="26">
                  <c:v>204.3438510102939</c:v>
                </c:pt>
                <c:pt idx="27">
                  <c:v>226.13962165993695</c:v>
                </c:pt>
                <c:pt idx="28">
                  <c:v>249.48748094119526</c:v>
                </c:pt>
                <c:pt idx="29">
                  <c:v>274.44286058538256</c:v>
                </c:pt>
                <c:pt idx="30">
                  <c:v>301.0611923238126</c:v>
                </c:pt>
                <c:pt idx="31">
                  <c:v>329.3979078877992</c:v>
                </c:pt>
                <c:pt idx="32">
                  <c:v>359.5084390086559</c:v>
                </c:pt>
                <c:pt idx="33">
                  <c:v>391.44821741769687</c:v>
                </c:pt>
                <c:pt idx="34">
                  <c:v>425.27267484623536</c:v>
                </c:pt>
                <c:pt idx="35">
                  <c:v>461.0372430255856</c:v>
                </c:pt>
                <c:pt idx="36">
                  <c:v>498.79735368706116</c:v>
                </c:pt>
                <c:pt idx="37">
                  <c:v>538.6084385619758</c:v>
                </c:pt>
                <c:pt idx="38">
                  <c:v>580.5259293816436</c:v>
                </c:pt>
                <c:pt idx="39">
                  <c:v>624.6052578773774</c:v>
                </c:pt>
                <c:pt idx="40">
                  <c:v>670.901855780492</c:v>
                </c:pt>
                <c:pt idx="41">
                  <c:v>719.4711548223005</c:v>
                </c:pt>
                <c:pt idx="42">
                  <c:v>770.368586734117</c:v>
                </c:pt>
                <c:pt idx="43">
                  <c:v>823.6495832472551</c:v>
                </c:pt>
                <c:pt idx="44">
                  <c:v>879.3695760930289</c:v>
                </c:pt>
                <c:pt idx="45">
                  <c:v>937.5839970027516</c:v>
                </c:pt>
                <c:pt idx="46">
                  <c:v>998.3482777077373</c:v>
                </c:pt>
                <c:pt idx="47">
                  <c:v>1061.7178499392994</c:v>
                </c:pt>
                <c:pt idx="48">
                  <c:v>1127.7481454287527</c:v>
                </c:pt>
                <c:pt idx="49">
                  <c:v>1196.49459590741</c:v>
                </c:pt>
              </c:numCache>
            </c:numRef>
          </c:yVal>
          <c:smooth val="1"/>
        </c:ser>
        <c:ser>
          <c:idx val="5"/>
          <c:order val="1"/>
          <c:tx>
            <c:strRef>
              <c:f>Snelheid!$G$13:$G$15</c:f>
              <c:strCache>
                <c:ptCount val="1"/>
                <c:pt idx="0">
                  <c:v>Energie- verbruik [Watt]</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Snelheid!$G$16:$G$65</c:f>
              <c:numCache>
                <c:ptCount val="50"/>
                <c:pt idx="0">
                  <c:v>7.39098274240407</c:v>
                </c:pt>
                <c:pt idx="1">
                  <c:v>15.268210100103271</c:v>
                </c:pt>
                <c:pt idx="2">
                  <c:v>24.117925330235867</c:v>
                </c:pt>
                <c:pt idx="3">
                  <c:v>34.42637168994013</c:v>
                </c:pt>
                <c:pt idx="4">
                  <c:v>46.67979243635432</c:v>
                </c:pt>
                <c:pt idx="5">
                  <c:v>61.36443082661669</c:v>
                </c:pt>
                <c:pt idx="6">
                  <c:v>78.96653011786555</c:v>
                </c:pt>
                <c:pt idx="7">
                  <c:v>99.97233356723916</c:v>
                </c:pt>
                <c:pt idx="8">
                  <c:v>124.86808443187567</c:v>
                </c:pt>
                <c:pt idx="9">
                  <c:v>142.34902196247697</c:v>
                </c:pt>
                <c:pt idx="10">
                  <c:v>160.11773090539756</c:v>
                </c:pt>
                <c:pt idx="11">
                  <c:v>180.13415220173778</c:v>
                </c:pt>
                <c:pt idx="12">
                  <c:v>202.4642239715667</c:v>
                </c:pt>
                <c:pt idx="13">
                  <c:v>227.1849330279487</c:v>
                </c:pt>
                <c:pt idx="14">
                  <c:v>254.3794836696885</c:v>
                </c:pt>
                <c:pt idx="15">
                  <c:v>284.1346211636352</c:v>
                </c:pt>
                <c:pt idx="16">
                  <c:v>316.53907821635823</c:v>
                </c:pt>
                <c:pt idx="17">
                  <c:v>351.68263892160434</c:v>
                </c:pt>
                <c:pt idx="18">
                  <c:v>389.6555579896048</c:v>
                </c:pt>
                <c:pt idx="19">
                  <c:v>430.5481924569694</c:v>
                </c:pt>
                <c:pt idx="20">
                  <c:v>474.4507647285546</c:v>
                </c:pt>
                <c:pt idx="21">
                  <c:v>521.453209092509</c:v>
                </c:pt>
                <c:pt idx="22">
                  <c:v>571.6450725478903</c:v>
                </c:pt>
                <c:pt idx="23">
                  <c:v>625.1154516615879</c:v>
                </c:pt>
                <c:pt idx="24">
                  <c:v>681.9529537002974</c:v>
                </c:pt>
                <c:pt idx="25">
                  <c:v>742.2456743135269</c:v>
                </c:pt>
                <c:pt idx="26">
                  <c:v>806.0811865945311</c:v>
                </c:pt>
                <c:pt idx="27">
                  <c:v>873.5465379971591</c:v>
                </c:pt>
                <c:pt idx="28">
                  <c:v>944.7282526768905</c:v>
                </c:pt>
                <c:pt idx="29">
                  <c:v>1019.7123375571894</c:v>
                </c:pt>
                <c:pt idx="30">
                  <c:v>1098.5842909227902</c:v>
                </c:pt>
                <c:pt idx="31">
                  <c:v>1181.4291126881362</c:v>
                </c:pt>
                <c:pt idx="32">
                  <c:v>1268.3313157322098</c:v>
                </c:pt>
                <c:pt idx="33">
                  <c:v>1373.5025172550768</c:v>
                </c:pt>
                <c:pt idx="34">
                  <c:v>1492.1848240218785</c:v>
                </c:pt>
                <c:pt idx="35">
                  <c:v>1617.6745369318794</c:v>
                </c:pt>
                <c:pt idx="36">
                  <c:v>1750.1661532879339</c:v>
                </c:pt>
                <c:pt idx="37">
                  <c:v>1889.8541703928977</c:v>
                </c:pt>
                <c:pt idx="38">
                  <c:v>2036.9330855496266</c:v>
                </c:pt>
                <c:pt idx="39">
                  <c:v>2191.5973960609736</c:v>
                </c:pt>
                <c:pt idx="40">
                  <c:v>2354.0415992297967</c:v>
                </c:pt>
                <c:pt idx="41">
                  <c:v>2524.4601923589494</c:v>
                </c:pt>
                <c:pt idx="42">
                  <c:v>2703.047672751288</c:v>
                </c:pt>
                <c:pt idx="43">
                  <c:v>2889.998537709667</c:v>
                </c:pt>
                <c:pt idx="44">
                  <c:v>3085.5072845369436</c:v>
                </c:pt>
                <c:pt idx="45">
                  <c:v>3289.768410535971</c:v>
                </c:pt>
                <c:pt idx="46">
                  <c:v>3502.9764130096046</c:v>
                </c:pt>
                <c:pt idx="47">
                  <c:v>3725.3257892607</c:v>
                </c:pt>
                <c:pt idx="48">
                  <c:v>3957.0110365921146</c:v>
                </c:pt>
                <c:pt idx="49">
                  <c:v>4198.226652306702</c:v>
                </c:pt>
              </c:numCache>
            </c:numRef>
          </c:yVal>
          <c:smooth val="1"/>
        </c:ser>
        <c:axId val="39604806"/>
        <c:axId val="20898935"/>
      </c:scatterChart>
      <c:valAx>
        <c:axId val="39604806"/>
        <c:scaling>
          <c:orientation val="minMax"/>
          <c:max val="40"/>
        </c:scaling>
        <c:axPos val="b"/>
        <c:title>
          <c:tx>
            <c:rich>
              <a:bodyPr vert="horz" rot="0" anchor="ctr"/>
              <a:lstStyle/>
              <a:p>
                <a:pPr algn="ctr">
                  <a:defRPr/>
                </a:pPr>
                <a:r>
                  <a:rPr lang="en-US" cap="none" sz="1000" b="1" i="0" u="none" baseline="0"/>
                  <a:t>v (km/h)</a:t>
                </a:r>
              </a:p>
            </c:rich>
          </c:tx>
          <c:layout/>
          <c:overlay val="0"/>
          <c:spPr>
            <a:noFill/>
            <a:ln>
              <a:noFill/>
            </a:ln>
          </c:spPr>
        </c:title>
        <c:majorGridlines/>
        <c:delete val="0"/>
        <c:numFmt formatCode="General" sourceLinked="1"/>
        <c:majorTickMark val="in"/>
        <c:minorTickMark val="none"/>
        <c:tickLblPos val="nextTo"/>
        <c:crossAx val="20898935"/>
        <c:crosses val="autoZero"/>
        <c:crossBetween val="midCat"/>
        <c:dispUnits/>
      </c:valAx>
      <c:valAx>
        <c:axId val="20898935"/>
        <c:scaling>
          <c:orientation val="minMax"/>
          <c:max val="2500"/>
        </c:scaling>
        <c:axPos val="l"/>
        <c:title>
          <c:tx>
            <c:rich>
              <a:bodyPr vert="horz" rot="-5400000" anchor="ctr"/>
              <a:lstStyle/>
              <a:p>
                <a:pPr algn="ctr">
                  <a:defRPr/>
                </a:pPr>
                <a:r>
                  <a:rPr lang="en-US" cap="none" sz="1000" b="1" i="0" u="none" baseline="0"/>
                  <a:t>Enegierverbuik (Watt)</a:t>
                </a:r>
              </a:p>
            </c:rich>
          </c:tx>
          <c:layout/>
          <c:overlay val="0"/>
          <c:spPr>
            <a:noFill/>
            <a:ln>
              <a:noFill/>
            </a:ln>
          </c:spPr>
        </c:title>
        <c:majorGridlines/>
        <c:delete val="0"/>
        <c:numFmt formatCode="General" sourceLinked="1"/>
        <c:majorTickMark val="in"/>
        <c:minorTickMark val="none"/>
        <c:tickLblPos val="nextTo"/>
        <c:crossAx val="39604806"/>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Energieverbuik van het lichaam per gefietsste km
gecorrigeerd naar rendement als functie van vermogen</a:t>
            </a:r>
          </a:p>
        </c:rich>
      </c:tx>
      <c:layout/>
      <c:spPr>
        <a:noFill/>
        <a:ln>
          <a:noFill/>
        </a:ln>
      </c:spPr>
    </c:title>
    <c:plotArea>
      <c:layout>
        <c:manualLayout>
          <c:xMode val="edge"/>
          <c:yMode val="edge"/>
          <c:x val="0.04025"/>
          <c:y val="0.10975"/>
          <c:w val="0.75025"/>
          <c:h val="0.82525"/>
        </c:manualLayout>
      </c:layout>
      <c:scatterChart>
        <c:scatterStyle val="smooth"/>
        <c:varyColors val="0"/>
        <c:ser>
          <c:idx val="6"/>
          <c:order val="0"/>
          <c:tx>
            <c:strRef>
              <c:f>Snelheid!$H$13:$H$15</c:f>
              <c:strCache>
                <c:ptCount val="1"/>
                <c:pt idx="0">
                  <c:v>Energie- verbruik [kJ/km]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Snelheid!$H$16:$H$65</c:f>
              <c:numCache>
                <c:ptCount val="50"/>
                <c:pt idx="0">
                  <c:v>26.607537872654653</c:v>
                </c:pt>
                <c:pt idx="1">
                  <c:v>27.48277818018589</c:v>
                </c:pt>
                <c:pt idx="2">
                  <c:v>28.94151039628304</c:v>
                </c:pt>
                <c:pt idx="3">
                  <c:v>30.983734520946122</c:v>
                </c:pt>
                <c:pt idx="4">
                  <c:v>33.60945055417511</c:v>
                </c:pt>
                <c:pt idx="5">
                  <c:v>36.81865849597001</c:v>
                </c:pt>
                <c:pt idx="6">
                  <c:v>40.61135834633086</c:v>
                </c:pt>
                <c:pt idx="7">
                  <c:v>44.987550105257625</c:v>
                </c:pt>
                <c:pt idx="8">
                  <c:v>49.94723377275027</c:v>
                </c:pt>
                <c:pt idx="9">
                  <c:v>51.245647906491705</c:v>
                </c:pt>
                <c:pt idx="10">
                  <c:v>52.40216647813011</c:v>
                </c:pt>
                <c:pt idx="11">
                  <c:v>54.04024566052133</c:v>
                </c:pt>
                <c:pt idx="12">
                  <c:v>56.06701586904924</c:v>
                </c:pt>
                <c:pt idx="13">
                  <c:v>58.41898277861539</c:v>
                </c:pt>
                <c:pt idx="14">
                  <c:v>61.051076080725245</c:v>
                </c:pt>
                <c:pt idx="15">
                  <c:v>63.93028976181792</c:v>
                </c:pt>
                <c:pt idx="16">
                  <c:v>67.03180479875822</c:v>
                </c:pt>
                <c:pt idx="17">
                  <c:v>70.33652778432086</c:v>
                </c:pt>
                <c:pt idx="18">
                  <c:v>73.8294741453988</c:v>
                </c:pt>
                <c:pt idx="19">
                  <c:v>77.49867464225449</c:v>
                </c:pt>
                <c:pt idx="20">
                  <c:v>81.33441681060935</c:v>
                </c:pt>
                <c:pt idx="21">
                  <c:v>85.32870694241058</c:v>
                </c:pt>
                <c:pt idx="22">
                  <c:v>89.47488092053936</c:v>
                </c:pt>
                <c:pt idx="23">
                  <c:v>93.76731774923819</c:v>
                </c:pt>
                <c:pt idx="24">
                  <c:v>98.20122533284284</c:v>
                </c:pt>
                <c:pt idx="25">
                  <c:v>102.77247798187297</c:v>
                </c:pt>
                <c:pt idx="26">
                  <c:v>107.47749154593748</c:v>
                </c:pt>
                <c:pt idx="27">
                  <c:v>112.31312631392048</c:v>
                </c:pt>
                <c:pt idx="28">
                  <c:v>117.27661067713123</c:v>
                </c:pt>
                <c:pt idx="29">
                  <c:v>122.36548050686274</c:v>
                </c:pt>
                <c:pt idx="30">
                  <c:v>127.57753055877563</c:v>
                </c:pt>
                <c:pt idx="31">
                  <c:v>132.91077517741533</c:v>
                </c:pt>
                <c:pt idx="32">
                  <c:v>138.36341626169562</c:v>
                </c:pt>
                <c:pt idx="33">
                  <c:v>145.42967829759635</c:v>
                </c:pt>
                <c:pt idx="34">
                  <c:v>153.48186761367893</c:v>
                </c:pt>
                <c:pt idx="35">
                  <c:v>161.76745369318795</c:v>
                </c:pt>
                <c:pt idx="36">
                  <c:v>170.28643653612332</c:v>
                </c:pt>
                <c:pt idx="37">
                  <c:v>179.03881614248505</c:v>
                </c:pt>
                <c:pt idx="38">
                  <c:v>188.02459251227324</c:v>
                </c:pt>
                <c:pt idx="39">
                  <c:v>197.2437656454876</c:v>
                </c:pt>
                <c:pt idx="40">
                  <c:v>206.6963355421285</c:v>
                </c:pt>
                <c:pt idx="41">
                  <c:v>216.38230220219566</c:v>
                </c:pt>
                <c:pt idx="42">
                  <c:v>226.3016656256892</c:v>
                </c:pt>
                <c:pt idx="43">
                  <c:v>236.45442581260912</c:v>
                </c:pt>
                <c:pt idx="44">
                  <c:v>246.8405827629555</c:v>
                </c:pt>
                <c:pt idx="45">
                  <c:v>257.46013647672817</c:v>
                </c:pt>
                <c:pt idx="46">
                  <c:v>268.31308695392715</c:v>
                </c:pt>
                <c:pt idx="47">
                  <c:v>279.3994341945525</c:v>
                </c:pt>
                <c:pt idx="48">
                  <c:v>290.71917819860437</c:v>
                </c:pt>
                <c:pt idx="49">
                  <c:v>302.2723189660826</c:v>
                </c:pt>
              </c:numCache>
            </c:numRef>
          </c:yVal>
          <c:smooth val="1"/>
        </c:ser>
        <c:axId val="53872688"/>
        <c:axId val="15092145"/>
      </c:scatterChart>
      <c:valAx>
        <c:axId val="53872688"/>
        <c:scaling>
          <c:orientation val="minMax"/>
          <c:max val="50"/>
        </c:scaling>
        <c:axPos val="b"/>
        <c:title>
          <c:tx>
            <c:rich>
              <a:bodyPr vert="horz" rot="0" anchor="ctr"/>
              <a:lstStyle/>
              <a:p>
                <a:pPr algn="ctr">
                  <a:defRPr/>
                </a:pPr>
                <a:r>
                  <a:rPr lang="en-US" cap="none" sz="1000" b="1" i="0" u="none" baseline="0"/>
                  <a:t>v (km/h)</a:t>
                </a:r>
              </a:p>
            </c:rich>
          </c:tx>
          <c:layout/>
          <c:overlay val="0"/>
          <c:spPr>
            <a:noFill/>
            <a:ln>
              <a:noFill/>
            </a:ln>
          </c:spPr>
        </c:title>
        <c:majorGridlines/>
        <c:delete val="0"/>
        <c:numFmt formatCode="General" sourceLinked="1"/>
        <c:majorTickMark val="in"/>
        <c:minorTickMark val="none"/>
        <c:tickLblPos val="nextTo"/>
        <c:crossAx val="15092145"/>
        <c:crosses val="autoZero"/>
        <c:crossBetween val="midCat"/>
        <c:dispUnits/>
      </c:valAx>
      <c:valAx>
        <c:axId val="15092145"/>
        <c:scaling>
          <c:orientation val="minMax"/>
        </c:scaling>
        <c:axPos val="l"/>
        <c:title>
          <c:tx>
            <c:rich>
              <a:bodyPr vert="horz" rot="-5400000" anchor="ctr"/>
              <a:lstStyle/>
              <a:p>
                <a:pPr algn="ctr">
                  <a:defRPr/>
                </a:pPr>
                <a:r>
                  <a:rPr lang="en-US" cap="none" sz="1000" b="1" i="0" u="none" baseline="0"/>
                  <a:t>kJ/km</a:t>
                </a:r>
              </a:p>
            </c:rich>
          </c:tx>
          <c:layout/>
          <c:overlay val="0"/>
          <c:spPr>
            <a:noFill/>
            <a:ln>
              <a:noFill/>
            </a:ln>
          </c:spPr>
        </c:title>
        <c:majorGridlines/>
        <c:delete val="0"/>
        <c:numFmt formatCode="General" sourceLinked="1"/>
        <c:majorTickMark val="in"/>
        <c:minorTickMark val="none"/>
        <c:tickLblPos val="nextTo"/>
        <c:crossAx val="53872688"/>
        <c:crosses val="autoZero"/>
        <c:crossBetween val="midCat"/>
        <c:dispUnits/>
      </c:valAx>
      <c:spPr>
        <a:solidFill>
          <a:srgbClr val="FFFFFF"/>
        </a:solidFill>
        <a:ln w="12700">
          <a:solidFill>
            <a:srgbClr val="808080"/>
          </a:solidFill>
        </a:ln>
      </c:spPr>
    </c:plotArea>
    <c:legend>
      <c:legendPos val="r"/>
      <c:layout>
        <c:manualLayout>
          <c:xMode val="edge"/>
          <c:yMode val="edge"/>
          <c:x val="0.811"/>
          <c:y val="0.48875"/>
        </c:manualLayout>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snelheid [km/h] tijdens acceleratie
met gegevens uit werkblad 
'Acceleratie'</a:t>
            </a:r>
          </a:p>
        </c:rich>
      </c:tx>
      <c:layout>
        <c:manualLayout>
          <c:xMode val="factor"/>
          <c:yMode val="factor"/>
          <c:x val="-0.00525"/>
          <c:y val="0"/>
        </c:manualLayout>
      </c:layout>
      <c:spPr>
        <a:noFill/>
        <a:ln>
          <a:noFill/>
        </a:ln>
      </c:spPr>
    </c:title>
    <c:plotArea>
      <c:layout>
        <c:manualLayout>
          <c:xMode val="edge"/>
          <c:yMode val="edge"/>
          <c:x val="0.03925"/>
          <c:y val="0.16925"/>
          <c:w val="0.9565"/>
          <c:h val="0.77375"/>
        </c:manualLayout>
      </c:layout>
      <c:scatterChart>
        <c:scatterStyle val="line"/>
        <c:varyColors val="0"/>
        <c:ser>
          <c:idx val="0"/>
          <c:order val="0"/>
          <c:tx>
            <c:strRef>
              <c:f>'Per seconde'!$F$14:$F$15</c:f>
              <c:strCache>
                <c:ptCount val="1"/>
                <c:pt idx="0">
                  <c:v>snelheid [km/h]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seconde'!$A$16:$A$76</c:f>
              <c:numCache>
                <c:ptCount val="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numCache>
            </c:numRef>
          </c:xVal>
          <c:yVal>
            <c:numRef>
              <c:f>'Per seconde'!$F$16:$F$76</c:f>
              <c:numCache>
                <c:ptCount val="61"/>
                <c:pt idx="0">
                  <c:v>18</c:v>
                </c:pt>
                <c:pt idx="1">
                  <c:v>18.4968770478843</c:v>
                </c:pt>
                <c:pt idx="2">
                  <c:v>18.9619671378209</c:v>
                </c:pt>
                <c:pt idx="3">
                  <c:v>19.397988625673754</c:v>
                </c:pt>
                <c:pt idx="4">
                  <c:v>19.807298555999548</c:v>
                </c:pt>
                <c:pt idx="5">
                  <c:v>20.19196317309478</c:v>
                </c:pt>
                <c:pt idx="6">
                  <c:v>20.553810997917704</c:v>
                </c:pt>
                <c:pt idx="7">
                  <c:v>20.89447348739317</c:v>
                </c:pt>
                <c:pt idx="8">
                  <c:v>21.21541667324329</c:v>
                </c:pt>
                <c:pt idx="9">
                  <c:v>21.5179661327654</c:v>
                </c:pt>
                <c:pt idx="10">
                  <c:v>21.803326953049446</c:v>
                </c:pt>
                <c:pt idx="11">
                  <c:v>22.0725998829894</c:v>
                </c:pt>
                <c:pt idx="12">
                  <c:v>22.326794545320563</c:v>
                </c:pt>
                <c:pt idx="13">
                  <c:v>22.56684035481354</c:v>
                </c:pt>
                <c:pt idx="14">
                  <c:v>22.793595627490195</c:v>
                </c:pt>
                <c:pt idx="15">
                  <c:v>23.007855249018665</c:v>
                </c:pt>
                <c:pt idx="16">
                  <c:v>23.210357184856786</c:v>
                </c:pt>
                <c:pt idx="17">
                  <c:v>23.401788051182347</c:v>
                </c:pt>
                <c:pt idx="18">
                  <c:v>23.582787917963397</c:v>
                </c:pt>
                <c:pt idx="19">
                  <c:v>23.753954479362687</c:v>
                </c:pt>
                <c:pt idx="20">
                  <c:v>23.91584669899104</c:v>
                </c:pt>
                <c:pt idx="21">
                  <c:v>24.06898801615119</c:v>
                </c:pt>
                <c:pt idx="22">
                  <c:v>24.213869182574857</c:v>
                </c:pt>
                <c:pt idx="23">
                  <c:v>24.350950786105233</c:v>
                </c:pt>
                <c:pt idx="24">
                  <c:v>24.48066550746825</c:v>
                </c:pt>
                <c:pt idx="25">
                  <c:v>24.60342014807891</c:v>
                </c:pt>
                <c:pt idx="26">
                  <c:v>24.71959746027087</c:v>
                </c:pt>
                <c:pt idx="27">
                  <c:v>24.829557806059036</c:v>
                </c:pt>
                <c:pt idx="28">
                  <c:v>24.933640666273824</c:v>
                </c:pt>
                <c:pt idx="29">
                  <c:v>25.032166018430342</c:v>
                </c:pt>
                <c:pt idx="30">
                  <c:v>25.125435598854335</c:v>
                </c:pt>
                <c:pt idx="31">
                  <c:v>25.213734062251863</c:v>
                </c:pt>
                <c:pt idx="32">
                  <c:v>25.297330049982154</c:v>
                </c:pt>
                <c:pt idx="33">
                  <c:v>25.376477176694817</c:v>
                </c:pt>
                <c:pt idx="34">
                  <c:v>25.451414943661074</c:v>
                </c:pt>
                <c:pt idx="35">
                  <c:v>25.522369586015017</c:v>
                </c:pt>
                <c:pt idx="36">
                  <c:v>25.589554860185146</c:v>
                </c:pt>
                <c:pt idx="37">
                  <c:v>25.65317277700715</c:v>
                </c:pt>
                <c:pt idx="38">
                  <c:v>25.713414285340246</c:v>
                </c:pt>
                <c:pt idx="39">
                  <c:v>25.770459910440625</c:v>
                </c:pt>
                <c:pt idx="40">
                  <c:v>25.824480350859908</c:v>
                </c:pt>
                <c:pt idx="41">
                  <c:v>25.87563703722002</c:v>
                </c:pt>
                <c:pt idx="42">
                  <c:v>25.924082655857358</c:v>
                </c:pt>
                <c:pt idx="43">
                  <c:v>25.969961640019207</c:v>
                </c:pt>
                <c:pt idx="44">
                  <c:v>26.01341063102653</c:v>
                </c:pt>
                <c:pt idx="45">
                  <c:v>26.054558911582795</c:v>
                </c:pt>
                <c:pt idx="46">
                  <c:v>26.093528813203722</c:v>
                </c:pt>
                <c:pt idx="47">
                  <c:v>26.13043609956291</c:v>
                </c:pt>
                <c:pt idx="48">
                  <c:v>26.165390327389595</c:v>
                </c:pt>
                <c:pt idx="49">
                  <c:v>26.198495186414597</c:v>
                </c:pt>
                <c:pt idx="50">
                  <c:v>26.22984881973591</c:v>
                </c:pt>
                <c:pt idx="51">
                  <c:v>26.25954412586428</c:v>
                </c:pt>
                <c:pt idx="52">
                  <c:v>26.287669043609867</c:v>
                </c:pt>
                <c:pt idx="53">
                  <c:v>26.314306820881846</c:v>
                </c:pt>
                <c:pt idx="54">
                  <c:v>26.339536268392706</c:v>
                </c:pt>
                <c:pt idx="55">
                  <c:v>26.36343199918627</c:v>
                </c:pt>
                <c:pt idx="56">
                  <c:v>26.386064654842905</c:v>
                </c:pt>
                <c:pt idx="57">
                  <c:v>26.407501119155594</c:v>
                </c:pt>
                <c:pt idx="58">
                  <c:v>26.42780472001612</c:v>
                </c:pt>
                <c:pt idx="59">
                  <c:v>26.447035420200812</c:v>
                </c:pt>
                <c:pt idx="60">
                  <c:v>26.46524999769981</c:v>
                </c:pt>
              </c:numCache>
            </c:numRef>
          </c:yVal>
          <c:smooth val="0"/>
        </c:ser>
        <c:axId val="1611578"/>
        <c:axId val="14504203"/>
      </c:scatterChart>
      <c:valAx>
        <c:axId val="1611578"/>
        <c:scaling>
          <c:orientation val="minMax"/>
        </c:scaling>
        <c:axPos val="b"/>
        <c:title>
          <c:tx>
            <c:rich>
              <a:bodyPr vert="horz" rot="0" anchor="ctr"/>
              <a:lstStyle/>
              <a:p>
                <a:pPr algn="ctr">
                  <a:defRPr/>
                </a:pPr>
                <a:r>
                  <a:rPr lang="en-US" cap="none" sz="1000" b="1" i="0" u="none" baseline="0"/>
                  <a:t>Tijd (s)</a:t>
                </a:r>
              </a:p>
            </c:rich>
          </c:tx>
          <c:layout>
            <c:manualLayout>
              <c:xMode val="factor"/>
              <c:yMode val="factor"/>
              <c:x val="0.00225"/>
              <c:y val="0.0005"/>
            </c:manualLayout>
          </c:layout>
          <c:overlay val="0"/>
          <c:spPr>
            <a:noFill/>
            <a:ln>
              <a:noFill/>
            </a:ln>
          </c:spPr>
        </c:title>
        <c:majorGridlines/>
        <c:delete val="0"/>
        <c:numFmt formatCode="General" sourceLinked="1"/>
        <c:majorTickMark val="out"/>
        <c:minorTickMark val="none"/>
        <c:tickLblPos val="nextTo"/>
        <c:crossAx val="14504203"/>
        <c:crosses val="autoZero"/>
        <c:crossBetween val="midCat"/>
        <c:dispUnits/>
      </c:valAx>
      <c:valAx>
        <c:axId val="14504203"/>
        <c:scaling>
          <c:orientation val="minMax"/>
        </c:scaling>
        <c:axPos val="l"/>
        <c:title>
          <c:tx>
            <c:rich>
              <a:bodyPr vert="horz" rot="-5400000" anchor="ctr"/>
              <a:lstStyle/>
              <a:p>
                <a:pPr algn="ctr">
                  <a:defRPr/>
                </a:pPr>
                <a:r>
                  <a:rPr lang="en-US" cap="none" sz="1000" b="1" i="0" u="none" baseline="0"/>
                  <a:t>Snelheid (km/uur)</a:t>
                </a:r>
              </a:p>
            </c:rich>
          </c:tx>
          <c:layout/>
          <c:overlay val="0"/>
          <c:spPr>
            <a:noFill/>
            <a:ln>
              <a:noFill/>
            </a:ln>
          </c:spPr>
        </c:title>
        <c:majorGridlines/>
        <c:delete val="0"/>
        <c:numFmt formatCode="General" sourceLinked="1"/>
        <c:majorTickMark val="out"/>
        <c:minorTickMark val="none"/>
        <c:tickLblPos val="nextTo"/>
        <c:crossAx val="1611578"/>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Tijd en snelheid als functie van de plaats
(als de grafiek niet vloeiend is, is de simulatie waarschijnlijk te grof)</a:t>
            </a:r>
          </a:p>
        </c:rich>
      </c:tx>
      <c:layout/>
      <c:spPr>
        <a:noFill/>
        <a:ln>
          <a:noFill/>
        </a:ln>
      </c:spPr>
    </c:title>
    <c:plotArea>
      <c:layout>
        <c:manualLayout>
          <c:xMode val="edge"/>
          <c:yMode val="edge"/>
          <c:x val="0.03625"/>
          <c:y val="0.14125"/>
          <c:w val="0.82575"/>
          <c:h val="0.8"/>
        </c:manualLayout>
      </c:layout>
      <c:scatterChart>
        <c:scatterStyle val="smooth"/>
        <c:varyColors val="0"/>
        <c:ser>
          <c:idx val="2"/>
          <c:order val="0"/>
          <c:tx>
            <c:strRef>
              <c:f>'Per meter'!$D$15:$D$16</c:f>
              <c:strCache>
                <c:ptCount val="1"/>
                <c:pt idx="0">
                  <c:v>Tijd [s]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meter'!$D$17:$D$47</c:f>
              <c:numCache>
                <c:ptCount val="31"/>
                <c:pt idx="0">
                  <c:v>0</c:v>
                </c:pt>
                <c:pt idx="1">
                  <c:v>0.17667844522968199</c:v>
                </c:pt>
                <c:pt idx="2">
                  <c:v>0.35330701900733236</c:v>
                </c:pt>
                <c:pt idx="3">
                  <c:v>0.5299057571320631</c:v>
                </c:pt>
                <c:pt idx="4">
                  <c:v>0.7064754093821374</c:v>
                </c:pt>
                <c:pt idx="5">
                  <c:v>0.8830165952828359</c:v>
                </c:pt>
                <c:pt idx="6">
                  <c:v>1.0595299200373325</c:v>
                </c:pt>
                <c:pt idx="7">
                  <c:v>1.2360159755429345</c:v>
                </c:pt>
                <c:pt idx="8">
                  <c:v>1.412475340705774</c:v>
                </c:pt>
                <c:pt idx="9">
                  <c:v>1.5889085817433153</c:v>
                </c:pt>
                <c:pt idx="10">
                  <c:v>1.7653162524790764</c:v>
                </c:pt>
                <c:pt idx="11">
                  <c:v>1.9416988946298137</c:v>
                </c:pt>
                <c:pt idx="12">
                  <c:v>2.118057038085395</c:v>
                </c:pt>
                <c:pt idx="13">
                  <c:v>2.294391201181572</c:v>
                </c:pt>
                <c:pt idx="14">
                  <c:v>2.4707018909658554</c:v>
                </c:pt>
                <c:pt idx="15">
                  <c:v>2.6469896034566998</c:v>
                </c:pt>
                <c:pt idx="16">
                  <c:v>2.82325482389618</c:v>
                </c:pt>
                <c:pt idx="17">
                  <c:v>2.9994980269963536</c:v>
                </c:pt>
                <c:pt idx="18">
                  <c:v>3.175719677179481</c:v>
                </c:pt>
                <c:pt idx="19">
                  <c:v>3.351920228812286</c:v>
                </c:pt>
                <c:pt idx="20">
                  <c:v>3.528100126434416</c:v>
                </c:pt>
                <c:pt idx="21">
                  <c:v>3.70425980498127</c:v>
                </c:pt>
                <c:pt idx="22">
                  <c:v>3.8803996900013478</c:v>
                </c:pt>
                <c:pt idx="23">
                  <c:v>4.056520197868275</c:v>
                </c:pt>
                <c:pt idx="24">
                  <c:v>4.232621735987646</c:v>
                </c:pt>
                <c:pt idx="25">
                  <c:v>4.40870470299884</c:v>
                </c:pt>
                <c:pt idx="26">
                  <c:v>4.5847694889719275</c:v>
                </c:pt>
                <c:pt idx="27">
                  <c:v>4.76081647559982</c:v>
                </c:pt>
                <c:pt idx="28">
                  <c:v>4.9368460363857825</c:v>
                </c:pt>
                <c:pt idx="29">
                  <c:v>5.1128585368264305</c:v>
                </c:pt>
                <c:pt idx="30">
                  <c:v>5.288854334590347</c:v>
                </c:pt>
              </c:numCache>
            </c:numRef>
          </c:yVal>
          <c:smooth val="1"/>
        </c:ser>
        <c:ser>
          <c:idx val="4"/>
          <c:order val="1"/>
          <c:tx>
            <c:strRef>
              <c:f>'Per meter'!$F$15:$F$16</c:f>
              <c:strCache>
                <c:ptCount val="1"/>
                <c:pt idx="0">
                  <c:v>snelheid [km/h]</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meter'!$F$17:$F$47</c:f>
              <c:numCache>
                <c:ptCount val="31"/>
                <c:pt idx="0">
                  <c:v>20.376</c:v>
                </c:pt>
                <c:pt idx="1">
                  <c:v>20.381753206770924</c:v>
                </c:pt>
                <c:pt idx="2">
                  <c:v>20.3851966227377</c:v>
                </c:pt>
                <c:pt idx="3">
                  <c:v>20.388554624898664</c:v>
                </c:pt>
                <c:pt idx="4">
                  <c:v>20.3918421734458</c:v>
                </c:pt>
                <c:pt idx="5">
                  <c:v>20.395060854510884</c:v>
                </c:pt>
                <c:pt idx="6">
                  <c:v>20.398212140254483</c:v>
                </c:pt>
                <c:pt idx="7">
                  <c:v>20.401297469691468</c:v>
                </c:pt>
                <c:pt idx="8">
                  <c:v>20.40431824994924</c:v>
                </c:pt>
                <c:pt idx="9">
                  <c:v>20.407275857025496</c:v>
                </c:pt>
                <c:pt idx="10">
                  <c:v>20.410171636523195</c:v>
                </c:pt>
                <c:pt idx="11">
                  <c:v>20.413006904366256</c:v>
                </c:pt>
                <c:pt idx="12">
                  <c:v>20.41578294749655</c:v>
                </c:pt>
                <c:pt idx="13">
                  <c:v>20.418501024552768</c:v>
                </c:pt>
                <c:pt idx="14">
                  <c:v>20.421162366531725</c:v>
                </c:pt>
                <c:pt idx="15">
                  <c:v>20.423768177432567</c:v>
                </c:pt>
                <c:pt idx="16">
                  <c:v>20.42631963488446</c:v>
                </c:pt>
                <c:pt idx="17">
                  <c:v>20.42881789075819</c:v>
                </c:pt>
                <c:pt idx="18">
                  <c:v>20.43126407176217</c:v>
                </c:pt>
                <c:pt idx="19">
                  <c:v>20.433659280023335</c:v>
                </c:pt>
                <c:pt idx="20">
                  <c:v>20.436004593653298</c:v>
                </c:pt>
                <c:pt idx="21">
                  <c:v>20.438301067300248</c:v>
                </c:pt>
                <c:pt idx="22">
                  <c:v>20.44054973268699</c:v>
                </c:pt>
                <c:pt idx="23">
                  <c:v>20.44275159913551</c:v>
                </c:pt>
                <c:pt idx="24">
                  <c:v>20.444907654078452</c:v>
                </c:pt>
                <c:pt idx="25">
                  <c:v>20.447018863557876</c:v>
                </c:pt>
                <c:pt idx="26">
                  <c:v>20.449086172711674</c:v>
                </c:pt>
                <c:pt idx="27">
                  <c:v>20.451110506247957</c:v>
                </c:pt>
                <c:pt idx="28">
                  <c:v>20.453092768907787</c:v>
                </c:pt>
                <c:pt idx="29">
                  <c:v>20.45503384591654</c:v>
                </c:pt>
                <c:pt idx="30">
                  <c:v>20.456934603424244</c:v>
                </c:pt>
              </c:numCache>
            </c:numRef>
          </c:yVal>
          <c:smooth val="1"/>
        </c:ser>
        <c:axId val="63428964"/>
        <c:axId val="33989765"/>
      </c:scatterChart>
      <c:valAx>
        <c:axId val="63428964"/>
        <c:scaling>
          <c:orientation val="minMax"/>
        </c:scaling>
        <c:axPos val="b"/>
        <c:title>
          <c:tx>
            <c:rich>
              <a:bodyPr vert="horz" rot="0" anchor="ctr"/>
              <a:lstStyle/>
              <a:p>
                <a:pPr algn="ctr">
                  <a:defRPr/>
                </a:pPr>
                <a:r>
                  <a:rPr lang="en-US" cap="none" sz="1000" b="1" i="0" u="none" baseline="0"/>
                  <a:t>Plaats (m)</a:t>
                </a:r>
              </a:p>
            </c:rich>
          </c:tx>
          <c:layout/>
          <c:overlay val="0"/>
          <c:spPr>
            <a:noFill/>
            <a:ln>
              <a:noFill/>
            </a:ln>
          </c:spPr>
        </c:title>
        <c:majorGridlines/>
        <c:delete val="0"/>
        <c:numFmt formatCode="General" sourceLinked="1"/>
        <c:majorTickMark val="out"/>
        <c:minorTickMark val="none"/>
        <c:tickLblPos val="nextTo"/>
        <c:crossAx val="33989765"/>
        <c:crosses val="autoZero"/>
        <c:crossBetween val="midCat"/>
        <c:dispUnits/>
      </c:valAx>
      <c:valAx>
        <c:axId val="33989765"/>
        <c:scaling>
          <c:orientation val="minMax"/>
        </c:scaling>
        <c:axPos val="l"/>
        <c:title>
          <c:tx>
            <c:rich>
              <a:bodyPr vert="horz" rot="-5400000" anchor="ctr"/>
              <a:lstStyle/>
              <a:p>
                <a:pPr algn="ctr">
                  <a:defRPr/>
                </a:pPr>
                <a:r>
                  <a:rPr lang="en-US" cap="none" sz="1000" b="1" i="0" u="none" baseline="0"/>
                  <a:t>Tijd (s) en Snelheid (km/u)</a:t>
                </a:r>
              </a:p>
            </c:rich>
          </c:tx>
          <c:layout/>
          <c:overlay val="0"/>
          <c:spPr>
            <a:noFill/>
            <a:ln>
              <a:noFill/>
            </a:ln>
          </c:spPr>
        </c:title>
        <c:majorGridlines/>
        <c:delete val="0"/>
        <c:numFmt formatCode="General" sourceLinked="1"/>
        <c:majorTickMark val="out"/>
        <c:minorTickMark val="none"/>
        <c:tickLblPos val="nextTo"/>
        <c:crossAx val="63428964"/>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t>Energieverbruik als functie van de snelheid</a:t>
            </a:r>
            <a:r>
              <a:rPr lang="en-US" cap="none" sz="800" b="1" i="0" u="none" baseline="0"/>
              <a:t>
(</a:t>
            </a:r>
            <a:r>
              <a:rPr lang="en-US" cap="none" sz="800" b="1" i="1" u="none" baseline="0"/>
              <a:t>vermogen</a:t>
            </a:r>
            <a:r>
              <a:rPr lang="en-US" cap="none" sz="800" b="1" i="0" u="none" baseline="0"/>
              <a:t> aan pion, </a:t>
            </a:r>
            <a:r>
              <a:rPr lang="en-US" cap="none" sz="800" b="1" i="1" u="none" baseline="0"/>
              <a:t>energieverbruik</a:t>
            </a:r>
            <a:r>
              <a:rPr lang="en-US" cap="none" sz="800" b="1" i="0" u="none" baseline="0"/>
              <a:t> van lichaam, gecorrigeerd naar
rendement als functie van vermogen aan pion)</a:t>
            </a:r>
          </a:p>
        </c:rich>
      </c:tx>
      <c:layout>
        <c:manualLayout>
          <c:xMode val="factor"/>
          <c:yMode val="factor"/>
          <c:x val="-0.018"/>
          <c:y val="-0.02025"/>
        </c:manualLayout>
      </c:layout>
      <c:spPr>
        <a:noFill/>
        <a:ln>
          <a:noFill/>
        </a:ln>
      </c:spPr>
    </c:title>
    <c:plotArea>
      <c:layout>
        <c:manualLayout>
          <c:xMode val="edge"/>
          <c:yMode val="edge"/>
          <c:x val="0.0635"/>
          <c:y val="0.15725"/>
          <c:w val="0.774"/>
          <c:h val="0.80275"/>
        </c:manualLayout>
      </c:layout>
      <c:scatterChart>
        <c:scatterStyle val="smooth"/>
        <c:varyColors val="0"/>
        <c:ser>
          <c:idx val="3"/>
          <c:order val="0"/>
          <c:tx>
            <c:strRef>
              <c:f>Snelheid!$E$13:$E$15</c:f>
              <c:strCache>
                <c:ptCount val="1"/>
                <c:pt idx="0">
                  <c:v>Vermogen [Watt]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Snelheid!$E$16:$E$65</c:f>
              <c:numCache>
                <c:ptCount val="50"/>
                <c:pt idx="0">
                  <c:v>0.8425720326340639</c:v>
                </c:pt>
                <c:pt idx="1">
                  <c:v>1.7405759514117727</c:v>
                </c:pt>
                <c:pt idx="2">
                  <c:v>2.7494434876468885</c:v>
                </c:pt>
                <c:pt idx="3">
                  <c:v>3.924606372653175</c:v>
                </c:pt>
                <c:pt idx="4">
                  <c:v>5.321496337744391</c:v>
                </c:pt>
                <c:pt idx="5">
                  <c:v>6.995545114234302</c:v>
                </c:pt>
                <c:pt idx="6">
                  <c:v>9.002184433436671</c:v>
                </c:pt>
                <c:pt idx="7">
                  <c:v>11.396846026665262</c:v>
                </c:pt>
                <c:pt idx="8">
                  <c:v>14.234961625233826</c:v>
                </c:pt>
                <c:pt idx="9">
                  <c:v>17.571962960456137</c:v>
                </c:pt>
                <c:pt idx="10">
                  <c:v>21.463281763645952</c:v>
                </c:pt>
                <c:pt idx="11">
                  <c:v>25.964349766117035</c:v>
                </c:pt>
                <c:pt idx="12">
                  <c:v>31.13059869918316</c:v>
                </c:pt>
                <c:pt idx="13">
                  <c:v>37.01746029415807</c:v>
                </c:pt>
                <c:pt idx="14">
                  <c:v>43.680366282355536</c:v>
                </c:pt>
                <c:pt idx="15">
                  <c:v>51.174748395089324</c:v>
                </c:pt>
                <c:pt idx="16">
                  <c:v>59.556038363673174</c:v>
                </c:pt>
                <c:pt idx="17">
                  <c:v>68.87966791942088</c:v>
                </c:pt>
                <c:pt idx="18">
                  <c:v>79.20106879364619</c:v>
                </c:pt>
                <c:pt idx="19">
                  <c:v>90.57567271766287</c:v>
                </c:pt>
                <c:pt idx="20">
                  <c:v>103.05891142278466</c:v>
                </c:pt>
                <c:pt idx="21">
                  <c:v>116.70621664032537</c:v>
                </c:pt>
                <c:pt idx="22">
                  <c:v>131.5730201015987</c:v>
                </c:pt>
                <c:pt idx="23">
                  <c:v>147.71475353791845</c:v>
                </c:pt>
                <c:pt idx="24">
                  <c:v>165.18684868059844</c:v>
                </c:pt>
                <c:pt idx="25">
                  <c:v>184.0447372609523</c:v>
                </c:pt>
                <c:pt idx="26">
                  <c:v>204.3438510102939</c:v>
                </c:pt>
                <c:pt idx="27">
                  <c:v>226.13962165993695</c:v>
                </c:pt>
                <c:pt idx="28">
                  <c:v>249.48748094119526</c:v>
                </c:pt>
                <c:pt idx="29">
                  <c:v>274.44286058538256</c:v>
                </c:pt>
                <c:pt idx="30">
                  <c:v>301.0611923238126</c:v>
                </c:pt>
                <c:pt idx="31">
                  <c:v>329.3979078877992</c:v>
                </c:pt>
                <c:pt idx="32">
                  <c:v>359.5084390086559</c:v>
                </c:pt>
                <c:pt idx="33">
                  <c:v>391.44821741769687</c:v>
                </c:pt>
                <c:pt idx="34">
                  <c:v>425.27267484623536</c:v>
                </c:pt>
                <c:pt idx="35">
                  <c:v>461.0372430255856</c:v>
                </c:pt>
                <c:pt idx="36">
                  <c:v>498.79735368706116</c:v>
                </c:pt>
                <c:pt idx="37">
                  <c:v>538.6084385619758</c:v>
                </c:pt>
                <c:pt idx="38">
                  <c:v>580.5259293816436</c:v>
                </c:pt>
                <c:pt idx="39">
                  <c:v>624.6052578773774</c:v>
                </c:pt>
                <c:pt idx="40">
                  <c:v>670.901855780492</c:v>
                </c:pt>
                <c:pt idx="41">
                  <c:v>719.4711548223005</c:v>
                </c:pt>
                <c:pt idx="42">
                  <c:v>770.368586734117</c:v>
                </c:pt>
                <c:pt idx="43">
                  <c:v>823.6495832472551</c:v>
                </c:pt>
                <c:pt idx="44">
                  <c:v>879.3695760930289</c:v>
                </c:pt>
                <c:pt idx="45">
                  <c:v>937.5839970027516</c:v>
                </c:pt>
                <c:pt idx="46">
                  <c:v>998.3482777077373</c:v>
                </c:pt>
                <c:pt idx="47">
                  <c:v>1061.7178499392994</c:v>
                </c:pt>
                <c:pt idx="48">
                  <c:v>1127.7481454287527</c:v>
                </c:pt>
                <c:pt idx="49">
                  <c:v>1196.49459590741</c:v>
                </c:pt>
              </c:numCache>
            </c:numRef>
          </c:yVal>
          <c:smooth val="1"/>
        </c:ser>
        <c:ser>
          <c:idx val="5"/>
          <c:order val="1"/>
          <c:tx>
            <c:strRef>
              <c:f>Snelheid!$G$13:$G$15</c:f>
              <c:strCache>
                <c:ptCount val="1"/>
                <c:pt idx="0">
                  <c:v>Energie- verbruik [Watt]</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Snelheid!$G$16:$G$65</c:f>
              <c:numCache>
                <c:ptCount val="50"/>
                <c:pt idx="0">
                  <c:v>7.39098274240407</c:v>
                </c:pt>
                <c:pt idx="1">
                  <c:v>15.268210100103271</c:v>
                </c:pt>
                <c:pt idx="2">
                  <c:v>24.117925330235867</c:v>
                </c:pt>
                <c:pt idx="3">
                  <c:v>34.42637168994013</c:v>
                </c:pt>
                <c:pt idx="4">
                  <c:v>46.67979243635432</c:v>
                </c:pt>
                <c:pt idx="5">
                  <c:v>61.36443082661669</c:v>
                </c:pt>
                <c:pt idx="6">
                  <c:v>78.96653011786555</c:v>
                </c:pt>
                <c:pt idx="7">
                  <c:v>99.97233356723916</c:v>
                </c:pt>
                <c:pt idx="8">
                  <c:v>124.86808443187567</c:v>
                </c:pt>
                <c:pt idx="9">
                  <c:v>142.34902196247697</c:v>
                </c:pt>
                <c:pt idx="10">
                  <c:v>160.11773090539756</c:v>
                </c:pt>
                <c:pt idx="11">
                  <c:v>180.13415220173778</c:v>
                </c:pt>
                <c:pt idx="12">
                  <c:v>202.4642239715667</c:v>
                </c:pt>
                <c:pt idx="13">
                  <c:v>227.1849330279487</c:v>
                </c:pt>
                <c:pt idx="14">
                  <c:v>254.3794836696885</c:v>
                </c:pt>
                <c:pt idx="15">
                  <c:v>284.1346211636352</c:v>
                </c:pt>
                <c:pt idx="16">
                  <c:v>316.53907821635823</c:v>
                </c:pt>
                <c:pt idx="17">
                  <c:v>351.68263892160434</c:v>
                </c:pt>
                <c:pt idx="18">
                  <c:v>389.6555579896048</c:v>
                </c:pt>
                <c:pt idx="19">
                  <c:v>430.5481924569694</c:v>
                </c:pt>
                <c:pt idx="20">
                  <c:v>474.4507647285546</c:v>
                </c:pt>
                <c:pt idx="21">
                  <c:v>521.453209092509</c:v>
                </c:pt>
                <c:pt idx="22">
                  <c:v>571.6450725478903</c:v>
                </c:pt>
                <c:pt idx="23">
                  <c:v>625.1154516615879</c:v>
                </c:pt>
                <c:pt idx="24">
                  <c:v>681.9529537002974</c:v>
                </c:pt>
                <c:pt idx="25">
                  <c:v>742.2456743135269</c:v>
                </c:pt>
                <c:pt idx="26">
                  <c:v>806.0811865945311</c:v>
                </c:pt>
                <c:pt idx="27">
                  <c:v>873.5465379971591</c:v>
                </c:pt>
                <c:pt idx="28">
                  <c:v>944.7282526768905</c:v>
                </c:pt>
                <c:pt idx="29">
                  <c:v>1019.7123375571894</c:v>
                </c:pt>
                <c:pt idx="30">
                  <c:v>1098.5842909227902</c:v>
                </c:pt>
                <c:pt idx="31">
                  <c:v>1181.4291126881362</c:v>
                </c:pt>
                <c:pt idx="32">
                  <c:v>1268.3313157322098</c:v>
                </c:pt>
                <c:pt idx="33">
                  <c:v>1373.5025172550768</c:v>
                </c:pt>
                <c:pt idx="34">
                  <c:v>1492.1848240218785</c:v>
                </c:pt>
                <c:pt idx="35">
                  <c:v>1617.6745369318794</c:v>
                </c:pt>
                <c:pt idx="36">
                  <c:v>1750.1661532879339</c:v>
                </c:pt>
                <c:pt idx="37">
                  <c:v>1889.8541703928977</c:v>
                </c:pt>
                <c:pt idx="38">
                  <c:v>2036.9330855496266</c:v>
                </c:pt>
                <c:pt idx="39">
                  <c:v>2191.5973960609736</c:v>
                </c:pt>
                <c:pt idx="40">
                  <c:v>2354.0415992297967</c:v>
                </c:pt>
                <c:pt idx="41">
                  <c:v>2524.4601923589494</c:v>
                </c:pt>
                <c:pt idx="42">
                  <c:v>2703.047672751288</c:v>
                </c:pt>
                <c:pt idx="43">
                  <c:v>2889.998537709667</c:v>
                </c:pt>
                <c:pt idx="44">
                  <c:v>3085.5072845369436</c:v>
                </c:pt>
                <c:pt idx="45">
                  <c:v>3289.768410535971</c:v>
                </c:pt>
                <c:pt idx="46">
                  <c:v>3502.9764130096046</c:v>
                </c:pt>
                <c:pt idx="47">
                  <c:v>3725.3257892607</c:v>
                </c:pt>
                <c:pt idx="48">
                  <c:v>3957.0110365921146</c:v>
                </c:pt>
                <c:pt idx="49">
                  <c:v>4198.226652306702</c:v>
                </c:pt>
              </c:numCache>
            </c:numRef>
          </c:yVal>
          <c:smooth val="1"/>
        </c:ser>
        <c:axId val="37472430"/>
        <c:axId val="1707551"/>
      </c:scatterChart>
      <c:valAx>
        <c:axId val="37472430"/>
        <c:scaling>
          <c:orientation val="minMax"/>
          <c:max val="40"/>
        </c:scaling>
        <c:axPos val="b"/>
        <c:title>
          <c:tx>
            <c:rich>
              <a:bodyPr vert="horz" rot="0" anchor="ctr"/>
              <a:lstStyle/>
              <a:p>
                <a:pPr algn="ctr">
                  <a:defRPr/>
                </a:pPr>
                <a:r>
                  <a:rPr lang="en-US" cap="none" sz="1000" b="1" i="0" u="none" baseline="0"/>
                  <a:t>v (km/h)</a:t>
                </a:r>
              </a:p>
            </c:rich>
          </c:tx>
          <c:layout>
            <c:manualLayout>
              <c:xMode val="factor"/>
              <c:yMode val="factor"/>
              <c:x val="-0.0175"/>
              <c:y val="0"/>
            </c:manualLayout>
          </c:layout>
          <c:overlay val="0"/>
          <c:spPr>
            <a:noFill/>
            <a:ln>
              <a:noFill/>
            </a:ln>
          </c:spPr>
        </c:title>
        <c:majorGridlines/>
        <c:delete val="0"/>
        <c:numFmt formatCode="General" sourceLinked="1"/>
        <c:majorTickMark val="in"/>
        <c:minorTickMark val="none"/>
        <c:tickLblPos val="nextTo"/>
        <c:crossAx val="1707551"/>
        <c:crosses val="autoZero"/>
        <c:crossBetween val="midCat"/>
        <c:dispUnits/>
      </c:valAx>
      <c:valAx>
        <c:axId val="1707551"/>
        <c:scaling>
          <c:orientation val="minMax"/>
          <c:max val="2500"/>
        </c:scaling>
        <c:axPos val="l"/>
        <c:title>
          <c:tx>
            <c:rich>
              <a:bodyPr vert="horz" rot="-5400000" anchor="ctr"/>
              <a:lstStyle/>
              <a:p>
                <a:pPr algn="ctr">
                  <a:defRPr/>
                </a:pPr>
                <a:r>
                  <a:rPr lang="en-US" cap="none" sz="1000" b="1" i="0" u="none" baseline="0"/>
                  <a:t>Enegierverbuik (Watt)</a:t>
                </a:r>
              </a:p>
            </c:rich>
          </c:tx>
          <c:layout>
            <c:manualLayout>
              <c:xMode val="factor"/>
              <c:yMode val="factor"/>
              <c:x val="-0.01075"/>
              <c:y val="0.0205"/>
            </c:manualLayout>
          </c:layout>
          <c:overlay val="0"/>
          <c:spPr>
            <a:noFill/>
            <a:ln>
              <a:noFill/>
            </a:ln>
          </c:spPr>
        </c:title>
        <c:majorGridlines/>
        <c:delete val="0"/>
        <c:numFmt formatCode="General" sourceLinked="1"/>
        <c:majorTickMark val="in"/>
        <c:minorTickMark val="none"/>
        <c:tickLblPos val="nextTo"/>
        <c:crossAx val="37472430"/>
        <c:crosses val="autoZero"/>
        <c:crossBetween val="midCat"/>
        <c:dispUnits/>
      </c:valAx>
      <c:spPr>
        <a:solidFill>
          <a:srgbClr val="FFFFFF"/>
        </a:solidFill>
        <a:ln w="12700">
          <a:solidFill>
            <a:srgbClr val="808080"/>
          </a:solidFill>
        </a:ln>
      </c:spPr>
    </c:plotArea>
    <c:legend>
      <c:legendPos val="r"/>
      <c:layout>
        <c:manualLayout>
          <c:xMode val="edge"/>
          <c:yMode val="edge"/>
          <c:x val="0.8425"/>
          <c:y val="0.30275"/>
          <c:w val="0.1425"/>
          <c:h val="0.552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Energieverbuik van het lichaam per gefietsste km
gecorrigeerd naar rendement als functie van vermogen</a:t>
            </a:r>
          </a:p>
        </c:rich>
      </c:tx>
      <c:layout/>
      <c:spPr>
        <a:noFill/>
        <a:ln>
          <a:noFill/>
        </a:ln>
      </c:spPr>
    </c:title>
    <c:plotArea>
      <c:layout>
        <c:manualLayout>
          <c:xMode val="edge"/>
          <c:yMode val="edge"/>
          <c:x val="0.027"/>
          <c:y val="0.09125"/>
          <c:w val="0.8365"/>
          <c:h val="0.89575"/>
        </c:manualLayout>
      </c:layout>
      <c:scatterChart>
        <c:scatterStyle val="smooth"/>
        <c:varyColors val="0"/>
        <c:ser>
          <c:idx val="6"/>
          <c:order val="0"/>
          <c:tx>
            <c:strRef>
              <c:f>Snelheid!$H$13:$H$15</c:f>
              <c:strCache>
                <c:ptCount val="1"/>
                <c:pt idx="0">
                  <c:v>Energie- verbruik [kJ/km]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Snelheid!$C$16:$C$65</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xVal>
          <c:yVal>
            <c:numRef>
              <c:f>Snelheid!$H$16:$H$65</c:f>
              <c:numCache>
                <c:ptCount val="50"/>
                <c:pt idx="0">
                  <c:v>26.607537872654653</c:v>
                </c:pt>
                <c:pt idx="1">
                  <c:v>27.48277818018589</c:v>
                </c:pt>
                <c:pt idx="2">
                  <c:v>28.94151039628304</c:v>
                </c:pt>
                <c:pt idx="3">
                  <c:v>30.983734520946122</c:v>
                </c:pt>
                <c:pt idx="4">
                  <c:v>33.60945055417511</c:v>
                </c:pt>
                <c:pt idx="5">
                  <c:v>36.81865849597001</c:v>
                </c:pt>
                <c:pt idx="6">
                  <c:v>40.61135834633086</c:v>
                </c:pt>
                <c:pt idx="7">
                  <c:v>44.987550105257625</c:v>
                </c:pt>
                <c:pt idx="8">
                  <c:v>49.94723377275027</c:v>
                </c:pt>
                <c:pt idx="9">
                  <c:v>51.245647906491705</c:v>
                </c:pt>
                <c:pt idx="10">
                  <c:v>52.40216647813011</c:v>
                </c:pt>
                <c:pt idx="11">
                  <c:v>54.04024566052133</c:v>
                </c:pt>
                <c:pt idx="12">
                  <c:v>56.06701586904924</c:v>
                </c:pt>
                <c:pt idx="13">
                  <c:v>58.41898277861539</c:v>
                </c:pt>
                <c:pt idx="14">
                  <c:v>61.051076080725245</c:v>
                </c:pt>
                <c:pt idx="15">
                  <c:v>63.93028976181792</c:v>
                </c:pt>
                <c:pt idx="16">
                  <c:v>67.03180479875822</c:v>
                </c:pt>
                <c:pt idx="17">
                  <c:v>70.33652778432086</c:v>
                </c:pt>
                <c:pt idx="18">
                  <c:v>73.8294741453988</c:v>
                </c:pt>
                <c:pt idx="19">
                  <c:v>77.49867464225449</c:v>
                </c:pt>
                <c:pt idx="20">
                  <c:v>81.33441681060935</c:v>
                </c:pt>
                <c:pt idx="21">
                  <c:v>85.32870694241058</c:v>
                </c:pt>
                <c:pt idx="22">
                  <c:v>89.47488092053936</c:v>
                </c:pt>
                <c:pt idx="23">
                  <c:v>93.76731774923819</c:v>
                </c:pt>
                <c:pt idx="24">
                  <c:v>98.20122533284284</c:v>
                </c:pt>
                <c:pt idx="25">
                  <c:v>102.77247798187297</c:v>
                </c:pt>
                <c:pt idx="26">
                  <c:v>107.47749154593748</c:v>
                </c:pt>
                <c:pt idx="27">
                  <c:v>112.31312631392048</c:v>
                </c:pt>
                <c:pt idx="28">
                  <c:v>117.27661067713123</c:v>
                </c:pt>
                <c:pt idx="29">
                  <c:v>122.36548050686274</c:v>
                </c:pt>
                <c:pt idx="30">
                  <c:v>127.57753055877563</c:v>
                </c:pt>
                <c:pt idx="31">
                  <c:v>132.91077517741533</c:v>
                </c:pt>
                <c:pt idx="32">
                  <c:v>138.36341626169562</c:v>
                </c:pt>
                <c:pt idx="33">
                  <c:v>145.42967829759635</c:v>
                </c:pt>
                <c:pt idx="34">
                  <c:v>153.48186761367893</c:v>
                </c:pt>
                <c:pt idx="35">
                  <c:v>161.76745369318795</c:v>
                </c:pt>
                <c:pt idx="36">
                  <c:v>170.28643653612332</c:v>
                </c:pt>
                <c:pt idx="37">
                  <c:v>179.03881614248505</c:v>
                </c:pt>
                <c:pt idx="38">
                  <c:v>188.02459251227324</c:v>
                </c:pt>
                <c:pt idx="39">
                  <c:v>197.2437656454876</c:v>
                </c:pt>
                <c:pt idx="40">
                  <c:v>206.6963355421285</c:v>
                </c:pt>
                <c:pt idx="41">
                  <c:v>216.38230220219566</c:v>
                </c:pt>
                <c:pt idx="42">
                  <c:v>226.3016656256892</c:v>
                </c:pt>
                <c:pt idx="43">
                  <c:v>236.45442581260912</c:v>
                </c:pt>
                <c:pt idx="44">
                  <c:v>246.8405827629555</c:v>
                </c:pt>
                <c:pt idx="45">
                  <c:v>257.46013647672817</c:v>
                </c:pt>
                <c:pt idx="46">
                  <c:v>268.31308695392715</c:v>
                </c:pt>
                <c:pt idx="47">
                  <c:v>279.3994341945525</c:v>
                </c:pt>
                <c:pt idx="48">
                  <c:v>290.71917819860437</c:v>
                </c:pt>
                <c:pt idx="49">
                  <c:v>302.2723189660826</c:v>
                </c:pt>
              </c:numCache>
            </c:numRef>
          </c:yVal>
          <c:smooth val="1"/>
        </c:ser>
        <c:axId val="15367960"/>
        <c:axId val="4093913"/>
      </c:scatterChart>
      <c:valAx>
        <c:axId val="15367960"/>
        <c:scaling>
          <c:orientation val="minMax"/>
          <c:max val="50"/>
        </c:scaling>
        <c:axPos val="b"/>
        <c:title>
          <c:tx>
            <c:rich>
              <a:bodyPr vert="horz" rot="0" anchor="ctr"/>
              <a:lstStyle/>
              <a:p>
                <a:pPr algn="ctr">
                  <a:defRPr/>
                </a:pPr>
                <a:r>
                  <a:rPr lang="en-US" cap="none" sz="1000" b="1" i="0" u="none" baseline="0"/>
                  <a:t>v (km/h)</a:t>
                </a:r>
              </a:p>
            </c:rich>
          </c:tx>
          <c:layout>
            <c:manualLayout>
              <c:xMode val="factor"/>
              <c:yMode val="factor"/>
              <c:x val="-0.01875"/>
              <c:y val="0.00075"/>
            </c:manualLayout>
          </c:layout>
          <c:overlay val="0"/>
          <c:spPr>
            <a:noFill/>
            <a:ln>
              <a:noFill/>
            </a:ln>
          </c:spPr>
        </c:title>
        <c:majorGridlines/>
        <c:delete val="0"/>
        <c:numFmt formatCode="General" sourceLinked="1"/>
        <c:majorTickMark val="in"/>
        <c:minorTickMark val="none"/>
        <c:tickLblPos val="nextTo"/>
        <c:crossAx val="4093913"/>
        <c:crosses val="autoZero"/>
        <c:crossBetween val="midCat"/>
        <c:dispUnits/>
      </c:valAx>
      <c:valAx>
        <c:axId val="4093913"/>
        <c:scaling>
          <c:orientation val="minMax"/>
        </c:scaling>
        <c:axPos val="l"/>
        <c:title>
          <c:tx>
            <c:rich>
              <a:bodyPr vert="horz" rot="-5400000" anchor="ctr"/>
              <a:lstStyle/>
              <a:p>
                <a:pPr algn="ctr">
                  <a:defRPr/>
                </a:pPr>
                <a:r>
                  <a:rPr lang="en-US" cap="none" sz="1000" b="1" i="0" u="none" baseline="0"/>
                  <a:t>kJ/km</a:t>
                </a:r>
              </a:p>
            </c:rich>
          </c:tx>
          <c:layout>
            <c:manualLayout>
              <c:xMode val="factor"/>
              <c:yMode val="factor"/>
              <c:x val="-0.01"/>
              <c:y val="0.01125"/>
            </c:manualLayout>
          </c:layout>
          <c:overlay val="0"/>
          <c:spPr>
            <a:noFill/>
            <a:ln>
              <a:noFill/>
            </a:ln>
          </c:spPr>
        </c:title>
        <c:majorGridlines/>
        <c:delete val="0"/>
        <c:numFmt formatCode="General" sourceLinked="1"/>
        <c:majorTickMark val="in"/>
        <c:minorTickMark val="none"/>
        <c:tickLblPos val="nextTo"/>
        <c:crossAx val="15367960"/>
        <c:crosses val="autoZero"/>
        <c:crossBetween val="midCat"/>
        <c:dispUnits/>
      </c:valAx>
      <c:spPr>
        <a:solidFill>
          <a:srgbClr val="FFFFFF"/>
        </a:solidFill>
        <a:ln w="12700">
          <a:solidFill>
            <a:srgbClr val="808080"/>
          </a:solidFill>
        </a:ln>
      </c:spPr>
    </c:plotArea>
    <c:legend>
      <c:legendPos val="r"/>
      <c:layout>
        <c:manualLayout>
          <c:xMode val="edge"/>
          <c:yMode val="edge"/>
          <c:x val="0.86"/>
          <c:y val="0.4715"/>
          <c:w val="0.13325"/>
          <c:h val="0.1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snelheid [km/h] tijdens acceleratie
met gegevens uit werkblad 
'Acceleratie'</a:t>
            </a:r>
          </a:p>
        </c:rich>
      </c:tx>
      <c:layout>
        <c:manualLayout>
          <c:xMode val="factor"/>
          <c:yMode val="factor"/>
          <c:x val="0.003"/>
          <c:y val="-0.02025"/>
        </c:manualLayout>
      </c:layout>
      <c:spPr>
        <a:noFill/>
        <a:ln>
          <a:noFill/>
        </a:ln>
      </c:spPr>
    </c:title>
    <c:plotArea>
      <c:layout>
        <c:manualLayout>
          <c:xMode val="edge"/>
          <c:yMode val="edge"/>
          <c:x val="0.03875"/>
          <c:y val="0.11375"/>
          <c:w val="0.9545"/>
          <c:h val="0.86925"/>
        </c:manualLayout>
      </c:layout>
      <c:scatterChart>
        <c:scatterStyle val="line"/>
        <c:varyColors val="0"/>
        <c:ser>
          <c:idx val="0"/>
          <c:order val="0"/>
          <c:tx>
            <c:strRef>
              <c:f>'Per seconde'!$F$14:$F$15</c:f>
              <c:strCache>
                <c:ptCount val="1"/>
                <c:pt idx="0">
                  <c:v>snelheid [km/h]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seconde'!$A$16:$A$76</c:f>
              <c:numCache>
                <c:ptCount val="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numCache>
            </c:numRef>
          </c:xVal>
          <c:yVal>
            <c:numRef>
              <c:f>'Per seconde'!$F$16:$F$76</c:f>
              <c:numCache>
                <c:ptCount val="61"/>
                <c:pt idx="0">
                  <c:v>18</c:v>
                </c:pt>
                <c:pt idx="1">
                  <c:v>18.4968770478843</c:v>
                </c:pt>
                <c:pt idx="2">
                  <c:v>18.9619671378209</c:v>
                </c:pt>
                <c:pt idx="3">
                  <c:v>19.397988625673754</c:v>
                </c:pt>
                <c:pt idx="4">
                  <c:v>19.807298555999548</c:v>
                </c:pt>
                <c:pt idx="5">
                  <c:v>20.19196317309478</c:v>
                </c:pt>
                <c:pt idx="6">
                  <c:v>20.553810997917704</c:v>
                </c:pt>
                <c:pt idx="7">
                  <c:v>20.89447348739317</c:v>
                </c:pt>
                <c:pt idx="8">
                  <c:v>21.21541667324329</c:v>
                </c:pt>
                <c:pt idx="9">
                  <c:v>21.5179661327654</c:v>
                </c:pt>
                <c:pt idx="10">
                  <c:v>21.803326953049446</c:v>
                </c:pt>
                <c:pt idx="11">
                  <c:v>22.0725998829894</c:v>
                </c:pt>
                <c:pt idx="12">
                  <c:v>22.326794545320563</c:v>
                </c:pt>
                <c:pt idx="13">
                  <c:v>22.56684035481354</c:v>
                </c:pt>
                <c:pt idx="14">
                  <c:v>22.793595627490195</c:v>
                </c:pt>
                <c:pt idx="15">
                  <c:v>23.007855249018665</c:v>
                </c:pt>
                <c:pt idx="16">
                  <c:v>23.210357184856786</c:v>
                </c:pt>
                <c:pt idx="17">
                  <c:v>23.401788051182347</c:v>
                </c:pt>
                <c:pt idx="18">
                  <c:v>23.582787917963397</c:v>
                </c:pt>
                <c:pt idx="19">
                  <c:v>23.753954479362687</c:v>
                </c:pt>
                <c:pt idx="20">
                  <c:v>23.91584669899104</c:v>
                </c:pt>
                <c:pt idx="21">
                  <c:v>24.06898801615119</c:v>
                </c:pt>
                <c:pt idx="22">
                  <c:v>24.213869182574857</c:v>
                </c:pt>
                <c:pt idx="23">
                  <c:v>24.350950786105233</c:v>
                </c:pt>
                <c:pt idx="24">
                  <c:v>24.48066550746825</c:v>
                </c:pt>
                <c:pt idx="25">
                  <c:v>24.60342014807891</c:v>
                </c:pt>
                <c:pt idx="26">
                  <c:v>24.71959746027087</c:v>
                </c:pt>
                <c:pt idx="27">
                  <c:v>24.829557806059036</c:v>
                </c:pt>
                <c:pt idx="28">
                  <c:v>24.933640666273824</c:v>
                </c:pt>
                <c:pt idx="29">
                  <c:v>25.032166018430342</c:v>
                </c:pt>
                <c:pt idx="30">
                  <c:v>25.125435598854335</c:v>
                </c:pt>
                <c:pt idx="31">
                  <c:v>25.213734062251863</c:v>
                </c:pt>
                <c:pt idx="32">
                  <c:v>25.297330049982154</c:v>
                </c:pt>
                <c:pt idx="33">
                  <c:v>25.376477176694817</c:v>
                </c:pt>
                <c:pt idx="34">
                  <c:v>25.451414943661074</c:v>
                </c:pt>
                <c:pt idx="35">
                  <c:v>25.522369586015017</c:v>
                </c:pt>
                <c:pt idx="36">
                  <c:v>25.589554860185146</c:v>
                </c:pt>
                <c:pt idx="37">
                  <c:v>25.65317277700715</c:v>
                </c:pt>
                <c:pt idx="38">
                  <c:v>25.713414285340246</c:v>
                </c:pt>
                <c:pt idx="39">
                  <c:v>25.770459910440625</c:v>
                </c:pt>
                <c:pt idx="40">
                  <c:v>25.824480350859908</c:v>
                </c:pt>
                <c:pt idx="41">
                  <c:v>25.87563703722002</c:v>
                </c:pt>
                <c:pt idx="42">
                  <c:v>25.924082655857358</c:v>
                </c:pt>
                <c:pt idx="43">
                  <c:v>25.969961640019207</c:v>
                </c:pt>
                <c:pt idx="44">
                  <c:v>26.01341063102653</c:v>
                </c:pt>
                <c:pt idx="45">
                  <c:v>26.054558911582795</c:v>
                </c:pt>
                <c:pt idx="46">
                  <c:v>26.093528813203722</c:v>
                </c:pt>
                <c:pt idx="47">
                  <c:v>26.13043609956291</c:v>
                </c:pt>
                <c:pt idx="48">
                  <c:v>26.165390327389595</c:v>
                </c:pt>
                <c:pt idx="49">
                  <c:v>26.198495186414597</c:v>
                </c:pt>
                <c:pt idx="50">
                  <c:v>26.22984881973591</c:v>
                </c:pt>
                <c:pt idx="51">
                  <c:v>26.25954412586428</c:v>
                </c:pt>
                <c:pt idx="52">
                  <c:v>26.287669043609867</c:v>
                </c:pt>
                <c:pt idx="53">
                  <c:v>26.314306820881846</c:v>
                </c:pt>
                <c:pt idx="54">
                  <c:v>26.339536268392706</c:v>
                </c:pt>
                <c:pt idx="55">
                  <c:v>26.36343199918627</c:v>
                </c:pt>
                <c:pt idx="56">
                  <c:v>26.386064654842905</c:v>
                </c:pt>
                <c:pt idx="57">
                  <c:v>26.407501119155594</c:v>
                </c:pt>
                <c:pt idx="58">
                  <c:v>26.42780472001612</c:v>
                </c:pt>
                <c:pt idx="59">
                  <c:v>26.447035420200812</c:v>
                </c:pt>
                <c:pt idx="60">
                  <c:v>26.46524999769981</c:v>
                </c:pt>
              </c:numCache>
            </c:numRef>
          </c:yVal>
          <c:smooth val="0"/>
        </c:ser>
        <c:axId val="36845218"/>
        <c:axId val="63171507"/>
      </c:scatterChart>
      <c:valAx>
        <c:axId val="36845218"/>
        <c:scaling>
          <c:orientation val="minMax"/>
        </c:scaling>
        <c:axPos val="b"/>
        <c:title>
          <c:tx>
            <c:rich>
              <a:bodyPr vert="horz" rot="0" anchor="ctr"/>
              <a:lstStyle/>
              <a:p>
                <a:pPr algn="ctr">
                  <a:defRPr/>
                </a:pPr>
                <a:r>
                  <a:rPr lang="en-US" cap="none" sz="875" b="1" i="0" u="none" baseline="0"/>
                  <a:t>Tijd (s)</a:t>
                </a:r>
              </a:p>
            </c:rich>
          </c:tx>
          <c:layout>
            <c:manualLayout>
              <c:xMode val="factor"/>
              <c:yMode val="factor"/>
              <c:x val="-0.0242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63171507"/>
        <c:crosses val="autoZero"/>
        <c:crossBetween val="midCat"/>
        <c:dispUnits/>
      </c:valAx>
      <c:valAx>
        <c:axId val="63171507"/>
        <c:scaling>
          <c:orientation val="minMax"/>
        </c:scaling>
        <c:axPos val="l"/>
        <c:title>
          <c:tx>
            <c:rich>
              <a:bodyPr vert="horz" rot="-5400000" anchor="ctr"/>
              <a:lstStyle/>
              <a:p>
                <a:pPr algn="ctr">
                  <a:defRPr/>
                </a:pPr>
                <a:r>
                  <a:rPr lang="en-US" cap="none" sz="875" b="1" i="0" u="none" baseline="0"/>
                  <a:t>Snelheid (km/uur)</a:t>
                </a:r>
              </a:p>
            </c:rich>
          </c:tx>
          <c:layout>
            <c:manualLayout>
              <c:xMode val="factor"/>
              <c:yMode val="factor"/>
              <c:x val="-0.024"/>
              <c:y val="0.03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6845218"/>
        <c:crosses val="autoZero"/>
        <c:crossBetween val="midCat"/>
        <c:dispUnits/>
      </c:valAx>
      <c:spPr>
        <a:noFill/>
        <a:ln w="25400">
          <a:solidFill>
            <a:srgbClr val="000000"/>
          </a:solidFill>
        </a:ln>
      </c:spPr>
    </c:plotArea>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Tijd en snelheid als functie van de plaats
(als de grafiek niet vloeiend is, is de simulatie waarschijnlijk te grof)</a:t>
            </a:r>
          </a:p>
        </c:rich>
      </c:tx>
      <c:layout/>
      <c:spPr>
        <a:noFill/>
        <a:ln>
          <a:noFill/>
        </a:ln>
      </c:spPr>
    </c:title>
    <c:plotArea>
      <c:layout>
        <c:manualLayout>
          <c:xMode val="edge"/>
          <c:yMode val="edge"/>
          <c:x val="0.03175"/>
          <c:y val="0.123"/>
          <c:w val="0.84975"/>
          <c:h val="0.877"/>
        </c:manualLayout>
      </c:layout>
      <c:scatterChart>
        <c:scatterStyle val="smooth"/>
        <c:varyColors val="0"/>
        <c:ser>
          <c:idx val="2"/>
          <c:order val="0"/>
          <c:tx>
            <c:strRef>
              <c:f>'Per meter'!$D$15:$D$16</c:f>
              <c:strCache>
                <c:ptCount val="1"/>
                <c:pt idx="0">
                  <c:v>Tijd [s]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meter'!$D$17:$D$47</c:f>
              <c:numCache>
                <c:ptCount val="31"/>
                <c:pt idx="0">
                  <c:v>0</c:v>
                </c:pt>
                <c:pt idx="1">
                  <c:v>0.17667844522968199</c:v>
                </c:pt>
                <c:pt idx="2">
                  <c:v>0.35330701900733236</c:v>
                </c:pt>
                <c:pt idx="3">
                  <c:v>0.5299057571320631</c:v>
                </c:pt>
                <c:pt idx="4">
                  <c:v>0.7064754093821374</c:v>
                </c:pt>
                <c:pt idx="5">
                  <c:v>0.8830165952828359</c:v>
                </c:pt>
                <c:pt idx="6">
                  <c:v>1.0595299200373325</c:v>
                </c:pt>
                <c:pt idx="7">
                  <c:v>1.2360159755429345</c:v>
                </c:pt>
                <c:pt idx="8">
                  <c:v>1.412475340705774</c:v>
                </c:pt>
                <c:pt idx="9">
                  <c:v>1.5889085817433153</c:v>
                </c:pt>
                <c:pt idx="10">
                  <c:v>1.7653162524790764</c:v>
                </c:pt>
                <c:pt idx="11">
                  <c:v>1.9416988946298137</c:v>
                </c:pt>
                <c:pt idx="12">
                  <c:v>2.118057038085395</c:v>
                </c:pt>
                <c:pt idx="13">
                  <c:v>2.294391201181572</c:v>
                </c:pt>
                <c:pt idx="14">
                  <c:v>2.4707018909658554</c:v>
                </c:pt>
                <c:pt idx="15">
                  <c:v>2.6469896034566998</c:v>
                </c:pt>
                <c:pt idx="16">
                  <c:v>2.82325482389618</c:v>
                </c:pt>
                <c:pt idx="17">
                  <c:v>2.9994980269963536</c:v>
                </c:pt>
                <c:pt idx="18">
                  <c:v>3.175719677179481</c:v>
                </c:pt>
                <c:pt idx="19">
                  <c:v>3.351920228812286</c:v>
                </c:pt>
                <c:pt idx="20">
                  <c:v>3.528100126434416</c:v>
                </c:pt>
                <c:pt idx="21">
                  <c:v>3.70425980498127</c:v>
                </c:pt>
                <c:pt idx="22">
                  <c:v>3.8803996900013478</c:v>
                </c:pt>
                <c:pt idx="23">
                  <c:v>4.056520197868275</c:v>
                </c:pt>
                <c:pt idx="24">
                  <c:v>4.232621735987646</c:v>
                </c:pt>
                <c:pt idx="25">
                  <c:v>4.40870470299884</c:v>
                </c:pt>
                <c:pt idx="26">
                  <c:v>4.5847694889719275</c:v>
                </c:pt>
                <c:pt idx="27">
                  <c:v>4.76081647559982</c:v>
                </c:pt>
                <c:pt idx="28">
                  <c:v>4.9368460363857825</c:v>
                </c:pt>
                <c:pt idx="29">
                  <c:v>5.1128585368264305</c:v>
                </c:pt>
                <c:pt idx="30">
                  <c:v>5.288854334590347</c:v>
                </c:pt>
              </c:numCache>
            </c:numRef>
          </c:yVal>
          <c:smooth val="1"/>
        </c:ser>
        <c:ser>
          <c:idx val="4"/>
          <c:order val="1"/>
          <c:tx>
            <c:strRef>
              <c:f>'Per meter'!$F$15:$F$16</c:f>
              <c:strCache>
                <c:ptCount val="1"/>
                <c:pt idx="0">
                  <c:v>snelheid [km/h]</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 meter'!$A$17:$A$47</c:f>
              <c:num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xVal>
          <c:yVal>
            <c:numRef>
              <c:f>'Per meter'!$F$17:$F$47</c:f>
              <c:numCache>
                <c:ptCount val="31"/>
                <c:pt idx="0">
                  <c:v>20.376</c:v>
                </c:pt>
                <c:pt idx="1">
                  <c:v>20.381753206770924</c:v>
                </c:pt>
                <c:pt idx="2">
                  <c:v>20.3851966227377</c:v>
                </c:pt>
                <c:pt idx="3">
                  <c:v>20.388554624898664</c:v>
                </c:pt>
                <c:pt idx="4">
                  <c:v>20.3918421734458</c:v>
                </c:pt>
                <c:pt idx="5">
                  <c:v>20.395060854510884</c:v>
                </c:pt>
                <c:pt idx="6">
                  <c:v>20.398212140254483</c:v>
                </c:pt>
                <c:pt idx="7">
                  <c:v>20.401297469691468</c:v>
                </c:pt>
                <c:pt idx="8">
                  <c:v>20.40431824994924</c:v>
                </c:pt>
                <c:pt idx="9">
                  <c:v>20.407275857025496</c:v>
                </c:pt>
                <c:pt idx="10">
                  <c:v>20.410171636523195</c:v>
                </c:pt>
                <c:pt idx="11">
                  <c:v>20.413006904366256</c:v>
                </c:pt>
                <c:pt idx="12">
                  <c:v>20.41578294749655</c:v>
                </c:pt>
                <c:pt idx="13">
                  <c:v>20.418501024552768</c:v>
                </c:pt>
                <c:pt idx="14">
                  <c:v>20.421162366531725</c:v>
                </c:pt>
                <c:pt idx="15">
                  <c:v>20.423768177432567</c:v>
                </c:pt>
                <c:pt idx="16">
                  <c:v>20.42631963488446</c:v>
                </c:pt>
                <c:pt idx="17">
                  <c:v>20.42881789075819</c:v>
                </c:pt>
                <c:pt idx="18">
                  <c:v>20.43126407176217</c:v>
                </c:pt>
                <c:pt idx="19">
                  <c:v>20.433659280023335</c:v>
                </c:pt>
                <c:pt idx="20">
                  <c:v>20.436004593653298</c:v>
                </c:pt>
                <c:pt idx="21">
                  <c:v>20.438301067300248</c:v>
                </c:pt>
                <c:pt idx="22">
                  <c:v>20.44054973268699</c:v>
                </c:pt>
                <c:pt idx="23">
                  <c:v>20.44275159913551</c:v>
                </c:pt>
                <c:pt idx="24">
                  <c:v>20.444907654078452</c:v>
                </c:pt>
                <c:pt idx="25">
                  <c:v>20.447018863557876</c:v>
                </c:pt>
                <c:pt idx="26">
                  <c:v>20.449086172711674</c:v>
                </c:pt>
                <c:pt idx="27">
                  <c:v>20.451110506247957</c:v>
                </c:pt>
                <c:pt idx="28">
                  <c:v>20.453092768907787</c:v>
                </c:pt>
                <c:pt idx="29">
                  <c:v>20.45503384591654</c:v>
                </c:pt>
                <c:pt idx="30">
                  <c:v>20.456934603424244</c:v>
                </c:pt>
              </c:numCache>
            </c:numRef>
          </c:yVal>
          <c:smooth val="1"/>
        </c:ser>
        <c:axId val="31672652"/>
        <c:axId val="16618413"/>
      </c:scatterChart>
      <c:valAx>
        <c:axId val="31672652"/>
        <c:scaling>
          <c:orientation val="minMax"/>
        </c:scaling>
        <c:axPos val="b"/>
        <c:title>
          <c:tx>
            <c:rich>
              <a:bodyPr vert="horz" rot="0" anchor="ctr"/>
              <a:lstStyle/>
              <a:p>
                <a:pPr algn="ctr">
                  <a:defRPr/>
                </a:pPr>
                <a:r>
                  <a:rPr lang="en-US" cap="none" sz="875" b="1" i="0" u="none" baseline="0"/>
                  <a:t>Plaats (m)</a:t>
                </a:r>
              </a:p>
            </c:rich>
          </c:tx>
          <c:layout>
            <c:manualLayout>
              <c:xMode val="factor"/>
              <c:yMode val="factor"/>
              <c:x val="-0.018"/>
              <c:y val="0.000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16618413"/>
        <c:crosses val="autoZero"/>
        <c:crossBetween val="midCat"/>
        <c:dispUnits/>
      </c:valAx>
      <c:valAx>
        <c:axId val="16618413"/>
        <c:scaling>
          <c:orientation val="minMax"/>
        </c:scaling>
        <c:axPos val="l"/>
        <c:title>
          <c:tx>
            <c:rich>
              <a:bodyPr vert="horz" rot="-5400000" anchor="ctr"/>
              <a:lstStyle/>
              <a:p>
                <a:pPr algn="ctr">
                  <a:defRPr/>
                </a:pPr>
                <a:r>
                  <a:rPr lang="en-US" cap="none" sz="875" b="1" i="0" u="none" baseline="0"/>
                  <a:t>Tijd (s) en Snelheid (km/u)</a:t>
                </a:r>
              </a:p>
            </c:rich>
          </c:tx>
          <c:layout>
            <c:manualLayout>
              <c:xMode val="factor"/>
              <c:yMode val="factor"/>
              <c:x val="-0.0135"/>
              <c:y val="-0.0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1672652"/>
        <c:crosses val="autoZero"/>
        <c:crossBetween val="midCat"/>
        <c:dispUnits/>
      </c:valAx>
      <c:spPr>
        <a:noFill/>
        <a:ln w="12700">
          <a:solidFill>
            <a:srgbClr val="808080"/>
          </a:solidFill>
        </a:ln>
      </c:spPr>
    </c:plotArea>
    <c:legend>
      <c:legendPos val="r"/>
      <c:layout>
        <c:manualLayout>
          <c:xMode val="edge"/>
          <c:yMode val="edge"/>
          <c:x val="0.88375"/>
          <c:y val="0.112"/>
          <c:w val="0.11125"/>
          <c:h val="0.1832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7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paperSize="9"/>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paperSize="9"/>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66675</xdr:rowOff>
    </xdr:from>
    <xdr:to>
      <xdr:col>6</xdr:col>
      <xdr:colOff>638175</xdr:colOff>
      <xdr:row>28</xdr:row>
      <xdr:rowOff>104775</xdr:rowOff>
    </xdr:to>
    <xdr:graphicFrame>
      <xdr:nvGraphicFramePr>
        <xdr:cNvPr id="1" name="Chart 1"/>
        <xdr:cNvGraphicFramePr/>
      </xdr:nvGraphicFramePr>
      <xdr:xfrm>
        <a:off x="95250" y="2047875"/>
        <a:ext cx="5772150" cy="27908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123825</xdr:rowOff>
    </xdr:from>
    <xdr:to>
      <xdr:col>6</xdr:col>
      <xdr:colOff>609600</xdr:colOff>
      <xdr:row>46</xdr:row>
      <xdr:rowOff>123825</xdr:rowOff>
    </xdr:to>
    <xdr:graphicFrame>
      <xdr:nvGraphicFramePr>
        <xdr:cNvPr id="2" name="Chart 2"/>
        <xdr:cNvGraphicFramePr/>
      </xdr:nvGraphicFramePr>
      <xdr:xfrm>
        <a:off x="104775" y="4857750"/>
        <a:ext cx="5734050" cy="29146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48</xdr:row>
      <xdr:rowOff>9525</xdr:rowOff>
    </xdr:from>
    <xdr:to>
      <xdr:col>6</xdr:col>
      <xdr:colOff>590550</xdr:colOff>
      <xdr:row>64</xdr:row>
      <xdr:rowOff>47625</xdr:rowOff>
    </xdr:to>
    <xdr:graphicFrame>
      <xdr:nvGraphicFramePr>
        <xdr:cNvPr id="3" name="Chart 3"/>
        <xdr:cNvGraphicFramePr/>
      </xdr:nvGraphicFramePr>
      <xdr:xfrm>
        <a:off x="38100" y="8305800"/>
        <a:ext cx="5781675" cy="26289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92</xdr:row>
      <xdr:rowOff>9525</xdr:rowOff>
    </xdr:from>
    <xdr:to>
      <xdr:col>6</xdr:col>
      <xdr:colOff>628650</xdr:colOff>
      <xdr:row>117</xdr:row>
      <xdr:rowOff>47625</xdr:rowOff>
    </xdr:to>
    <xdr:graphicFrame>
      <xdr:nvGraphicFramePr>
        <xdr:cNvPr id="4" name="Chart 4"/>
        <xdr:cNvGraphicFramePr/>
      </xdr:nvGraphicFramePr>
      <xdr:xfrm>
        <a:off x="38100" y="15916275"/>
        <a:ext cx="5819775" cy="40862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onpoels.nl/fietsen"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13" sqref="A13"/>
    </sheetView>
  </sheetViews>
  <sheetFormatPr defaultColWidth="9.00390625" defaultRowHeight="12.75"/>
  <cols>
    <col min="1" max="1" width="70.00390625" style="4" customWidth="1"/>
    <col min="2" max="16384" width="8.875" style="2" customWidth="1"/>
  </cols>
  <sheetData>
    <row r="1" ht="20.25">
      <c r="A1" s="1" t="s">
        <v>0</v>
      </c>
    </row>
    <row r="2" ht="18" customHeight="1">
      <c r="A2" s="3" t="s">
        <v>172</v>
      </c>
    </row>
    <row r="3" ht="25.5">
      <c r="A3" s="12" t="s">
        <v>1</v>
      </c>
    </row>
    <row r="4" ht="15">
      <c r="A4" s="12"/>
    </row>
    <row r="5" ht="25.5">
      <c r="A5" s="12" t="s">
        <v>2</v>
      </c>
    </row>
    <row r="6" ht="15">
      <c r="A6" s="12" t="s">
        <v>3</v>
      </c>
    </row>
    <row r="7" ht="15">
      <c r="A7" s="12"/>
    </row>
    <row r="8" ht="15">
      <c r="A8" s="12" t="s">
        <v>4</v>
      </c>
    </row>
    <row r="10" s="6" customFormat="1" ht="12.75">
      <c r="A10" s="5" t="s">
        <v>5</v>
      </c>
    </row>
    <row r="11" s="6" customFormat="1" ht="12.75">
      <c r="A11" s="5" t="s">
        <v>6</v>
      </c>
    </row>
    <row r="13" ht="51">
      <c r="A13" s="13" t="s">
        <v>7</v>
      </c>
    </row>
  </sheetData>
  <hyperlinks>
    <hyperlink ref="A2" r:id="rId1" display="Copyright Leon Poels. Niet zonder toestemming herpublicere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8"/>
  <sheetViews>
    <sheetView workbookViewId="0" topLeftCell="A1">
      <pane ySplit="1" topLeftCell="BM2" activePane="bottomLeft" state="frozen"/>
      <selection pane="topLeft" activeCell="A1" sqref="A1"/>
      <selection pane="bottomLeft" activeCell="A1" sqref="A1"/>
    </sheetView>
  </sheetViews>
  <sheetFormatPr defaultColWidth="9.00390625" defaultRowHeight="12.75"/>
  <cols>
    <col min="1" max="1" width="55.625" style="10" customWidth="1"/>
    <col min="2" max="2" width="2.50390625" style="8" customWidth="1"/>
    <col min="3" max="3" width="42.00390625" style="10" customWidth="1"/>
    <col min="4" max="16384" width="8.875" style="9" customWidth="1"/>
  </cols>
  <sheetData>
    <row r="1" spans="1:3" ht="12.75">
      <c r="A1" s="7" t="s">
        <v>8</v>
      </c>
      <c r="C1" s="7" t="s">
        <v>9</v>
      </c>
    </row>
    <row r="2" ht="12.75">
      <c r="C2" s="10" t="s">
        <v>10</v>
      </c>
    </row>
    <row r="3" spans="1:3" ht="25.5">
      <c r="A3" s="10" t="s">
        <v>11</v>
      </c>
      <c r="C3" s="10" t="s">
        <v>12</v>
      </c>
    </row>
    <row r="4" ht="12.75">
      <c r="C4" s="10" t="s">
        <v>13</v>
      </c>
    </row>
    <row r="5" spans="1:3" ht="12.75">
      <c r="A5" s="10" t="s">
        <v>14</v>
      </c>
      <c r="C5" s="10" t="s">
        <v>15</v>
      </c>
    </row>
    <row r="6" spans="1:3" ht="25.5">
      <c r="A6" s="11" t="s">
        <v>16</v>
      </c>
      <c r="C6" s="10" t="s">
        <v>17</v>
      </c>
    </row>
    <row r="7" spans="1:3" ht="25.5">
      <c r="A7" s="11" t="s">
        <v>18</v>
      </c>
      <c r="C7" s="10" t="s">
        <v>19</v>
      </c>
    </row>
    <row r="8" ht="12.75">
      <c r="A8" s="11" t="s">
        <v>20</v>
      </c>
    </row>
    <row r="9" ht="38.25">
      <c r="A9" s="11" t="s">
        <v>21</v>
      </c>
    </row>
    <row r="10" ht="51">
      <c r="A10" s="11" t="s">
        <v>22</v>
      </c>
    </row>
    <row r="11" ht="25.5">
      <c r="A11" s="11" t="s">
        <v>23</v>
      </c>
    </row>
    <row r="12" ht="12.75">
      <c r="A12" s="11" t="s">
        <v>24</v>
      </c>
    </row>
    <row r="14" spans="1:3" ht="51">
      <c r="A14" s="10" t="s">
        <v>25</v>
      </c>
      <c r="C14" s="10" t="s">
        <v>26</v>
      </c>
    </row>
    <row r="16" spans="1:3" ht="51">
      <c r="A16" s="10" t="s">
        <v>27</v>
      </c>
      <c r="C16" s="10" t="s">
        <v>28</v>
      </c>
    </row>
    <row r="18" spans="1:3" ht="51">
      <c r="A18" s="10" t="s">
        <v>29</v>
      </c>
      <c r="C18" s="10" t="s">
        <v>30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DB122"/>
  <sheetViews>
    <sheetView showGridLines="0" tabSelected="1" workbookViewId="0" topLeftCell="A1">
      <selection activeCell="B8" sqref="B8"/>
    </sheetView>
  </sheetViews>
  <sheetFormatPr defaultColWidth="9.625" defaultRowHeight="12.75"/>
  <cols>
    <col min="1" max="1" width="29.375" style="6" customWidth="1"/>
    <col min="2" max="2" width="15.00390625" style="6" customWidth="1"/>
    <col min="3" max="3" width="9.625" style="6" customWidth="1"/>
    <col min="4" max="4" width="0.875" style="33" customWidth="1"/>
    <col min="5" max="106" width="9.625" style="6" customWidth="1"/>
    <col min="107" max="16384" width="9.625" style="6" customWidth="1"/>
  </cols>
  <sheetData>
    <row r="1" spans="1:11" ht="15.75">
      <c r="A1" s="14" t="s">
        <v>31</v>
      </c>
      <c r="B1" s="15"/>
      <c r="C1" s="15"/>
      <c r="D1" s="16"/>
      <c r="E1" s="15"/>
      <c r="F1" s="15"/>
      <c r="G1" s="15"/>
      <c r="H1" s="15"/>
      <c r="I1" s="15"/>
      <c r="J1" s="15"/>
      <c r="K1" s="15"/>
    </row>
    <row r="2" spans="1:11" ht="12.75">
      <c r="A2" s="17"/>
      <c r="B2" s="15"/>
      <c r="C2" s="15"/>
      <c r="D2" s="16"/>
      <c r="E2" s="15"/>
      <c r="F2" s="15"/>
      <c r="G2" s="15"/>
      <c r="H2" s="15"/>
      <c r="I2" s="15"/>
      <c r="J2" s="15"/>
      <c r="K2" s="15"/>
    </row>
    <row r="3" spans="1:11" ht="12.75">
      <c r="A3" s="17" t="s">
        <v>32</v>
      </c>
      <c r="B3" s="15"/>
      <c r="C3" s="15"/>
      <c r="D3" s="16"/>
      <c r="E3" s="15"/>
      <c r="F3" s="15"/>
      <c r="G3" s="15"/>
      <c r="H3" s="15"/>
      <c r="I3" s="15"/>
      <c r="J3" s="15"/>
      <c r="K3" s="15"/>
    </row>
    <row r="4" spans="1:11" ht="12.75">
      <c r="A4" s="17" t="s">
        <v>33</v>
      </c>
      <c r="B4" s="15"/>
      <c r="C4" s="15"/>
      <c r="D4" s="16"/>
      <c r="E4" s="17" t="s">
        <v>34</v>
      </c>
      <c r="F4" s="15"/>
      <c r="G4" s="15"/>
      <c r="H4" s="15"/>
      <c r="I4" s="15"/>
      <c r="J4" s="15"/>
      <c r="K4" s="15"/>
    </row>
    <row r="5" spans="1:11" s="19" customFormat="1" ht="6" customHeight="1">
      <c r="A5" s="18"/>
      <c r="B5" s="16"/>
      <c r="C5" s="16"/>
      <c r="D5" s="16"/>
      <c r="E5" s="18"/>
      <c r="F5" s="16"/>
      <c r="G5" s="16"/>
      <c r="H5" s="16"/>
      <c r="I5" s="16"/>
      <c r="J5" s="16"/>
      <c r="K5" s="16"/>
    </row>
    <row r="6" spans="1:11" ht="12.75">
      <c r="A6" s="17" t="s">
        <v>35</v>
      </c>
      <c r="B6" s="15"/>
      <c r="C6" s="15"/>
      <c r="D6" s="16"/>
      <c r="E6" s="15"/>
      <c r="F6" s="15"/>
      <c r="G6" s="15"/>
      <c r="H6" s="15"/>
      <c r="I6" s="15"/>
      <c r="J6" s="15"/>
      <c r="K6" s="15"/>
    </row>
    <row r="7" spans="1:11" ht="12.75">
      <c r="A7" s="17" t="s">
        <v>36</v>
      </c>
      <c r="B7" s="15" t="s">
        <v>37</v>
      </c>
      <c r="C7" s="15"/>
      <c r="D7" s="16"/>
      <c r="E7" s="15"/>
      <c r="F7" s="15"/>
      <c r="G7" s="15"/>
      <c r="H7" s="15"/>
      <c r="I7" s="15"/>
      <c r="J7" s="15"/>
      <c r="K7" s="15"/>
    </row>
    <row r="8" spans="1:11" ht="12.75">
      <c r="A8" s="17" t="s">
        <v>38</v>
      </c>
      <c r="B8" s="20" t="s">
        <v>39</v>
      </c>
      <c r="D8" s="18"/>
      <c r="E8" s="15"/>
      <c r="F8" s="15"/>
      <c r="G8" s="15"/>
      <c r="H8" s="15"/>
      <c r="I8" s="15"/>
      <c r="J8" s="15"/>
      <c r="K8" s="15"/>
    </row>
    <row r="9" spans="1:11" ht="12.75">
      <c r="A9" s="17" t="s">
        <v>40</v>
      </c>
      <c r="B9" s="21" t="s">
        <v>39</v>
      </c>
      <c r="D9" s="18"/>
      <c r="E9" s="15"/>
      <c r="F9" s="15"/>
      <c r="G9" s="15"/>
      <c r="H9" s="15"/>
      <c r="I9" s="15"/>
      <c r="J9" s="15"/>
      <c r="K9" s="15"/>
    </row>
    <row r="10" spans="1:11" ht="12.75">
      <c r="A10" s="17" t="s">
        <v>41</v>
      </c>
      <c r="B10" s="21" t="s">
        <v>42</v>
      </c>
      <c r="D10" s="18"/>
      <c r="E10" s="15"/>
      <c r="F10" s="22"/>
      <c r="G10" s="15"/>
      <c r="H10" s="15"/>
      <c r="I10" s="15"/>
      <c r="J10" s="15"/>
      <c r="K10" s="15"/>
    </row>
    <row r="11" spans="1:11" ht="12.75">
      <c r="A11" s="17" t="s">
        <v>43</v>
      </c>
      <c r="B11" s="23" t="s">
        <v>39</v>
      </c>
      <c r="D11" s="18"/>
      <c r="E11" s="17" t="s">
        <v>44</v>
      </c>
      <c r="F11" s="22">
        <f>5*(B8="ja")+4*(B9="ja")+3*(B10="ja")+2*(B11="ja")</f>
        <v>3</v>
      </c>
      <c r="G11" s="17" t="s">
        <v>45</v>
      </c>
      <c r="H11" s="15"/>
      <c r="I11" s="15"/>
      <c r="J11" s="15"/>
      <c r="K11" s="15"/>
    </row>
    <row r="12" spans="1:106" s="19" customFormat="1" ht="6" customHeight="1">
      <c r="A12" s="18"/>
      <c r="B12" s="18"/>
      <c r="C12" s="18"/>
      <c r="D12" s="18"/>
      <c r="E12" s="18"/>
      <c r="F12" s="18"/>
      <c r="G12" s="18"/>
      <c r="H12" s="18"/>
      <c r="I12" s="16"/>
      <c r="J12" s="16"/>
      <c r="K12" s="16"/>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row>
    <row r="13" spans="1:11" ht="12.75">
      <c r="A13" s="17" t="s">
        <v>46</v>
      </c>
      <c r="B13" s="15"/>
      <c r="C13" s="15"/>
      <c r="D13" s="16"/>
      <c r="E13" s="15"/>
      <c r="F13" s="15"/>
      <c r="G13" s="15"/>
      <c r="H13" s="15"/>
      <c r="I13" s="15"/>
      <c r="J13" s="15"/>
      <c r="K13" s="15"/>
    </row>
    <row r="14" spans="1:11" ht="62.25" customHeight="1">
      <c r="A14" s="25" t="s">
        <v>47</v>
      </c>
      <c r="B14" s="25"/>
      <c r="C14" s="25"/>
      <c r="D14" s="16"/>
      <c r="E14" s="15"/>
      <c r="F14" s="15"/>
      <c r="G14" s="15"/>
      <c r="H14" s="15"/>
      <c r="I14" s="15"/>
      <c r="J14" s="15"/>
      <c r="K14" s="15"/>
    </row>
    <row r="15" spans="1:11" ht="12.75">
      <c r="A15" s="17" t="s">
        <v>48</v>
      </c>
      <c r="B15" s="26">
        <v>44</v>
      </c>
      <c r="C15" s="17" t="s">
        <v>49</v>
      </c>
      <c r="D15" s="18"/>
      <c r="E15" s="22" t="str">
        <f>"Snelh0:"</f>
        <v>Snelh0:</v>
      </c>
      <c r="F15" s="22">
        <f>B15/3.6</f>
        <v>12.222222222222221</v>
      </c>
      <c r="G15" s="17" t="s">
        <v>50</v>
      </c>
      <c r="H15" s="15"/>
      <c r="I15" s="15"/>
      <c r="J15" s="15"/>
      <c r="K15" s="15"/>
    </row>
    <row r="16" spans="1:11" ht="25.5">
      <c r="A16" s="27" t="s">
        <v>51</v>
      </c>
      <c r="B16" s="28">
        <v>95</v>
      </c>
      <c r="C16" s="17" t="s">
        <v>52</v>
      </c>
      <c r="D16" s="18"/>
      <c r="E16" s="15"/>
      <c r="F16" s="15"/>
      <c r="G16" s="15"/>
      <c r="H16" s="15"/>
      <c r="I16" s="15"/>
      <c r="J16" s="15"/>
      <c r="K16" s="15"/>
    </row>
    <row r="17" spans="1:11" ht="25.5">
      <c r="A17" s="27" t="s">
        <v>53</v>
      </c>
      <c r="B17" s="22">
        <v>9.81</v>
      </c>
      <c r="C17" s="17" t="s">
        <v>54</v>
      </c>
      <c r="D17" s="18"/>
      <c r="E17" s="15"/>
      <c r="F17" s="22"/>
      <c r="G17" s="15"/>
      <c r="H17" s="15"/>
      <c r="I17" s="15"/>
      <c r="J17" s="15"/>
      <c r="K17" s="15"/>
    </row>
    <row r="18" spans="1:11" ht="12.75">
      <c r="A18" s="17" t="s">
        <v>55</v>
      </c>
      <c r="B18" s="29">
        <v>7.25</v>
      </c>
      <c r="C18" s="17" t="s">
        <v>56</v>
      </c>
      <c r="D18" s="18"/>
      <c r="E18" s="22" t="str">
        <f>"Cw:"</f>
        <v>Cw:</v>
      </c>
      <c r="F18" s="22">
        <f>(g*massa*SIN(ATAN(helling0/100))-wrijving)/(snelheid0^2)</f>
        <v>0.4310371426958159</v>
      </c>
      <c r="G18" s="17" t="s">
        <v>57</v>
      </c>
      <c r="H18" s="15"/>
      <c r="I18" s="15"/>
      <c r="J18" s="15"/>
      <c r="K18" s="15"/>
    </row>
    <row r="19" spans="1:11" ht="12.75">
      <c r="A19" s="17"/>
      <c r="B19" s="30"/>
      <c r="C19" s="17"/>
      <c r="D19" s="18"/>
      <c r="E19" s="22"/>
      <c r="F19" s="22" t="s">
        <v>58</v>
      </c>
      <c r="G19" s="17"/>
      <c r="H19" s="15"/>
      <c r="I19" s="15"/>
      <c r="J19" s="15"/>
      <c r="K19" s="15"/>
    </row>
    <row r="20" spans="1:106" s="19" customFormat="1" ht="6" customHeight="1">
      <c r="A20" s="18"/>
      <c r="B20" s="18"/>
      <c r="C20" s="18"/>
      <c r="D20" s="18"/>
      <c r="E20" s="18"/>
      <c r="F20" s="18"/>
      <c r="G20" s="18"/>
      <c r="H20" s="18"/>
      <c r="I20" s="16"/>
      <c r="J20" s="16"/>
      <c r="K20" s="16"/>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row>
    <row r="21" spans="1:11" ht="12.75">
      <c r="A21" s="31" t="s">
        <v>59</v>
      </c>
      <c r="B21" s="32"/>
      <c r="C21" s="32"/>
      <c r="D21" s="32"/>
      <c r="E21" s="32"/>
      <c r="F21" s="32"/>
      <c r="G21" s="32"/>
      <c r="H21" s="32"/>
      <c r="I21" s="32"/>
      <c r="K21" s="15"/>
    </row>
    <row r="22" spans="1:11" ht="12.75">
      <c r="A22" s="31" t="s">
        <v>60</v>
      </c>
      <c r="B22" s="32"/>
      <c r="C22" s="32"/>
      <c r="D22" s="32"/>
      <c r="E22" s="32"/>
      <c r="F22" s="32"/>
      <c r="G22" s="32"/>
      <c r="H22" s="32"/>
      <c r="I22" s="32"/>
      <c r="K22" s="15"/>
    </row>
    <row r="23" ht="12.75">
      <c r="K23" s="15"/>
    </row>
    <row r="24" spans="11:106" ht="12.75">
      <c r="K24" s="15"/>
      <c r="AR24" s="34" t="s">
        <v>61</v>
      </c>
      <c r="AS24" s="34" t="s">
        <v>61</v>
      </c>
      <c r="AT24" s="34" t="s">
        <v>61</v>
      </c>
      <c r="AU24" s="34" t="s">
        <v>61</v>
      </c>
      <c r="AV24" s="34" t="s">
        <v>61</v>
      </c>
      <c r="AW24" s="34" t="s">
        <v>61</v>
      </c>
      <c r="AX24" s="34" t="s">
        <v>61</v>
      </c>
      <c r="AY24" s="34" t="s">
        <v>61</v>
      </c>
      <c r="AZ24" s="34" t="s">
        <v>61</v>
      </c>
      <c r="BA24" s="34" t="s">
        <v>61</v>
      </c>
      <c r="BB24" s="34" t="s">
        <v>61</v>
      </c>
      <c r="BC24" s="34" t="s">
        <v>61</v>
      </c>
      <c r="BD24" s="34" t="s">
        <v>61</v>
      </c>
      <c r="BE24" s="34" t="s">
        <v>61</v>
      </c>
      <c r="BF24" s="34" t="s">
        <v>61</v>
      </c>
      <c r="BG24" s="34" t="s">
        <v>61</v>
      </c>
      <c r="BH24" s="34" t="s">
        <v>61</v>
      </c>
      <c r="BI24" s="34" t="s">
        <v>61</v>
      </c>
      <c r="BJ24" s="34" t="s">
        <v>61</v>
      </c>
      <c r="BK24" s="34" t="s">
        <v>61</v>
      </c>
      <c r="BL24" s="34" t="s">
        <v>61</v>
      </c>
      <c r="BM24" s="34" t="s">
        <v>61</v>
      </c>
      <c r="BN24" s="34" t="s">
        <v>61</v>
      </c>
      <c r="BO24" s="34" t="s">
        <v>61</v>
      </c>
      <c r="BP24" s="34" t="s">
        <v>61</v>
      </c>
      <c r="BQ24" s="34" t="s">
        <v>61</v>
      </c>
      <c r="BR24" s="34" t="s">
        <v>61</v>
      </c>
      <c r="BS24" s="34" t="s">
        <v>61</v>
      </c>
      <c r="BT24" s="34" t="s">
        <v>61</v>
      </c>
      <c r="BU24" s="34" t="s">
        <v>61</v>
      </c>
      <c r="BV24" s="34" t="s">
        <v>61</v>
      </c>
      <c r="BW24" s="34" t="s">
        <v>61</v>
      </c>
      <c r="BX24" s="34" t="s">
        <v>61</v>
      </c>
      <c r="BY24" s="34" t="s">
        <v>61</v>
      </c>
      <c r="BZ24" s="34" t="s">
        <v>61</v>
      </c>
      <c r="CA24" s="34" t="s">
        <v>61</v>
      </c>
      <c r="CB24" s="34" t="s">
        <v>61</v>
      </c>
      <c r="CC24" s="34" t="s">
        <v>61</v>
      </c>
      <c r="CD24" s="34" t="s">
        <v>61</v>
      </c>
      <c r="CE24" s="34" t="s">
        <v>61</v>
      </c>
      <c r="CF24" s="34" t="s">
        <v>61</v>
      </c>
      <c r="CG24" s="34" t="s">
        <v>61</v>
      </c>
      <c r="CH24" s="34" t="s">
        <v>61</v>
      </c>
      <c r="CI24" s="34" t="s">
        <v>61</v>
      </c>
      <c r="CJ24" s="34" t="s">
        <v>61</v>
      </c>
      <c r="CK24" s="34" t="s">
        <v>61</v>
      </c>
      <c r="CL24" s="34" t="s">
        <v>61</v>
      </c>
      <c r="CM24" s="34" t="s">
        <v>61</v>
      </c>
      <c r="CN24" s="34" t="s">
        <v>61</v>
      </c>
      <c r="CO24" s="34" t="s">
        <v>61</v>
      </c>
      <c r="CP24" s="34" t="s">
        <v>61</v>
      </c>
      <c r="CQ24" s="34" t="s">
        <v>61</v>
      </c>
      <c r="CR24" s="34" t="s">
        <v>61</v>
      </c>
      <c r="CS24" s="34" t="s">
        <v>61</v>
      </c>
      <c r="CT24" s="34" t="s">
        <v>61</v>
      </c>
      <c r="CU24" s="34" t="s">
        <v>61</v>
      </c>
      <c r="CV24" s="34" t="s">
        <v>61</v>
      </c>
      <c r="CW24" s="34" t="s">
        <v>61</v>
      </c>
      <c r="CX24" s="34" t="s">
        <v>61</v>
      </c>
      <c r="CY24" s="34" t="s">
        <v>61</v>
      </c>
      <c r="CZ24" s="34" t="s">
        <v>61</v>
      </c>
      <c r="DA24" s="34" t="s">
        <v>61</v>
      </c>
      <c r="DB24" s="34" t="s">
        <v>61</v>
      </c>
    </row>
    <row r="25" ht="12.75">
      <c r="K25" s="15"/>
    </row>
    <row r="26" ht="12.75">
      <c r="K26" s="15"/>
    </row>
    <row r="27" ht="12.75">
      <c r="K27" s="15"/>
    </row>
    <row r="28" ht="12.75">
      <c r="K28" s="15"/>
    </row>
    <row r="29" ht="12.75">
      <c r="K29" s="15"/>
    </row>
    <row r="30" ht="12.75">
      <c r="K30" s="15"/>
    </row>
    <row r="31" ht="12.75">
      <c r="K31" s="15"/>
    </row>
    <row r="32" ht="12.75">
      <c r="K32" s="15"/>
    </row>
    <row r="33" ht="12.75">
      <c r="K33" s="15"/>
    </row>
    <row r="34" ht="12.75">
      <c r="K34" s="15"/>
    </row>
    <row r="35" ht="12.75">
      <c r="K35" s="15"/>
    </row>
    <row r="36" ht="12.75">
      <c r="K36" s="15"/>
    </row>
    <row r="37" ht="12.75">
      <c r="K37" s="15"/>
    </row>
    <row r="38" ht="12.75">
      <c r="K38" s="15"/>
    </row>
    <row r="39" ht="12.75">
      <c r="K39" s="15"/>
    </row>
    <row r="40" ht="12.75">
      <c r="K40" s="15"/>
    </row>
    <row r="41" ht="12.75">
      <c r="K41" s="15"/>
    </row>
    <row r="42" ht="12.75">
      <c r="K42" s="15"/>
    </row>
    <row r="43" ht="12.75">
      <c r="K43" s="15"/>
    </row>
    <row r="44" ht="12.75">
      <c r="K44" s="15"/>
    </row>
    <row r="45" ht="12.75">
      <c r="K45" s="15"/>
    </row>
    <row r="46" ht="12.75">
      <c r="K46" s="15"/>
    </row>
    <row r="47" ht="12.75">
      <c r="K47" s="15"/>
    </row>
    <row r="48" ht="12.75">
      <c r="K48" s="15"/>
    </row>
    <row r="49" ht="12.75">
      <c r="K49" s="15"/>
    </row>
    <row r="50" ht="12.75">
      <c r="K50" s="15"/>
    </row>
    <row r="51" ht="12.75">
      <c r="K51" s="15"/>
    </row>
    <row r="52" ht="12.75">
      <c r="K52" s="15"/>
    </row>
    <row r="53" ht="12.75">
      <c r="K53" s="15"/>
    </row>
    <row r="54" ht="12.75">
      <c r="K54" s="15"/>
    </row>
    <row r="55" ht="12.75">
      <c r="K55" s="15"/>
    </row>
    <row r="56" ht="12.75">
      <c r="K56" s="15"/>
    </row>
    <row r="57" ht="12.75">
      <c r="K57" s="15"/>
    </row>
    <row r="58" ht="12.75">
      <c r="K58" s="15"/>
    </row>
    <row r="59" ht="12.75">
      <c r="K59" s="15"/>
    </row>
    <row r="60" ht="12.75">
      <c r="K60" s="15"/>
    </row>
    <row r="61" ht="12.75">
      <c r="K61" s="15"/>
    </row>
    <row r="62" ht="12.75">
      <c r="K62" s="15"/>
    </row>
    <row r="63" ht="12.75">
      <c r="K63" s="15"/>
    </row>
    <row r="64" ht="12.75">
      <c r="K64" s="15"/>
    </row>
    <row r="65" ht="12.75">
      <c r="K65" s="15"/>
    </row>
    <row r="66" ht="12.75">
      <c r="K66" s="15"/>
    </row>
    <row r="67" ht="12.75">
      <c r="K67" s="15"/>
    </row>
    <row r="68" ht="12.75">
      <c r="K68" s="15"/>
    </row>
    <row r="69" ht="12.75">
      <c r="K69" s="15"/>
    </row>
    <row r="70" ht="12.75">
      <c r="K70" s="15"/>
    </row>
    <row r="71" ht="12.75">
      <c r="K71" s="15"/>
    </row>
    <row r="72" ht="12.75">
      <c r="K72" s="15"/>
    </row>
    <row r="73" ht="12.75">
      <c r="K73" s="15"/>
    </row>
    <row r="74" ht="12.75">
      <c r="K74" s="15"/>
    </row>
    <row r="75" ht="12.75">
      <c r="K75" s="15"/>
    </row>
    <row r="76" ht="12.75">
      <c r="K76" s="15"/>
    </row>
    <row r="77" ht="12.75">
      <c r="K77" s="15"/>
    </row>
    <row r="78" ht="12.75">
      <c r="K78" s="15"/>
    </row>
    <row r="79" ht="12.75">
      <c r="K79" s="15"/>
    </row>
    <row r="80" ht="12.75">
      <c r="K80" s="15"/>
    </row>
    <row r="81" ht="12.75">
      <c r="K81" s="15"/>
    </row>
    <row r="82" ht="12.75">
      <c r="K82" s="15"/>
    </row>
    <row r="83" ht="12.75">
      <c r="K83" s="15"/>
    </row>
    <row r="84" ht="12.75">
      <c r="K84" s="15"/>
    </row>
    <row r="85" ht="12.75">
      <c r="K85" s="15"/>
    </row>
    <row r="86" ht="12.75">
      <c r="K86" s="15"/>
    </row>
    <row r="87" ht="12.75">
      <c r="K87" s="15"/>
    </row>
    <row r="88" ht="12.75">
      <c r="K88" s="15"/>
    </row>
    <row r="89" ht="12.75">
      <c r="K89" s="15"/>
    </row>
    <row r="90" ht="12.75">
      <c r="K90" s="15"/>
    </row>
    <row r="91" ht="12.75">
      <c r="K91" s="15"/>
    </row>
    <row r="92" ht="12.75">
      <c r="K92" s="15"/>
    </row>
    <row r="93" ht="12.75">
      <c r="K93" s="15"/>
    </row>
    <row r="94" ht="12.75">
      <c r="K94" s="15"/>
    </row>
    <row r="95" ht="12.75">
      <c r="K95" s="15"/>
    </row>
    <row r="96" ht="12.75">
      <c r="K96" s="15"/>
    </row>
    <row r="97" ht="12.75">
      <c r="K97" s="15"/>
    </row>
    <row r="98" ht="12.75">
      <c r="K98" s="15"/>
    </row>
    <row r="99" ht="12.75">
      <c r="K99" s="15"/>
    </row>
    <row r="100" ht="12.75">
      <c r="K100" s="15"/>
    </row>
    <row r="101" ht="12.75">
      <c r="K101" s="15"/>
    </row>
    <row r="102" ht="12.75">
      <c r="K102" s="15"/>
    </row>
    <row r="103" spans="1:11" ht="12.75">
      <c r="A103" s="22"/>
      <c r="B103" s="22"/>
      <c r="C103" s="22"/>
      <c r="D103" s="30"/>
      <c r="E103" s="22"/>
      <c r="F103" s="22"/>
      <c r="G103" s="22"/>
      <c r="H103" s="15"/>
      <c r="I103" s="15"/>
      <c r="J103" s="15"/>
      <c r="K103" s="15"/>
    </row>
    <row r="104" spans="1:11" ht="12.75">
      <c r="A104" s="22"/>
      <c r="B104" s="22"/>
      <c r="C104" s="22"/>
      <c r="D104" s="30"/>
      <c r="E104" s="22"/>
      <c r="F104" s="22"/>
      <c r="G104" s="22"/>
      <c r="H104" s="15"/>
      <c r="I104" s="15"/>
      <c r="J104" s="15"/>
      <c r="K104" s="15"/>
    </row>
    <row r="105" spans="1:11" ht="12.75">
      <c r="A105" s="22"/>
      <c r="B105" s="22"/>
      <c r="C105" s="22"/>
      <c r="D105" s="30"/>
      <c r="E105" s="22"/>
      <c r="F105" s="22"/>
      <c r="G105" s="22"/>
      <c r="H105" s="15"/>
      <c r="I105" s="15"/>
      <c r="J105" s="15"/>
      <c r="K105" s="15"/>
    </row>
    <row r="106" spans="1:11" ht="12.75">
      <c r="A106" s="22"/>
      <c r="B106" s="22"/>
      <c r="C106" s="22"/>
      <c r="D106" s="30"/>
      <c r="E106" s="22"/>
      <c r="F106" s="22"/>
      <c r="G106" s="22"/>
      <c r="H106" s="15"/>
      <c r="I106" s="15"/>
      <c r="J106" s="15"/>
      <c r="K106" s="15"/>
    </row>
    <row r="107" spans="1:11" ht="12.75">
      <c r="A107" s="22"/>
      <c r="B107" s="22"/>
      <c r="C107" s="22"/>
      <c r="D107" s="30"/>
      <c r="E107" s="22"/>
      <c r="F107" s="22"/>
      <c r="G107" s="22"/>
      <c r="H107" s="15"/>
      <c r="I107" s="15"/>
      <c r="J107" s="15"/>
      <c r="K107" s="15"/>
    </row>
    <row r="108" spans="1:11" ht="12.75">
      <c r="A108" s="22"/>
      <c r="B108" s="22"/>
      <c r="C108" s="22"/>
      <c r="D108" s="30"/>
      <c r="E108" s="22"/>
      <c r="F108" s="22"/>
      <c r="G108" s="22"/>
      <c r="H108" s="15"/>
      <c r="I108" s="15"/>
      <c r="J108" s="15"/>
      <c r="K108" s="15"/>
    </row>
    <row r="109" spans="1:11" ht="12.75">
      <c r="A109" s="22"/>
      <c r="B109" s="22"/>
      <c r="C109" s="22"/>
      <c r="D109" s="30"/>
      <c r="E109" s="22"/>
      <c r="F109" s="22"/>
      <c r="G109" s="22"/>
      <c r="H109" s="15"/>
      <c r="I109" s="15"/>
      <c r="J109" s="15"/>
      <c r="K109" s="15"/>
    </row>
    <row r="110" spans="1:11" ht="12.75">
      <c r="A110" s="22"/>
      <c r="B110" s="22"/>
      <c r="C110" s="22"/>
      <c r="D110" s="30"/>
      <c r="E110" s="22"/>
      <c r="F110" s="22"/>
      <c r="G110" s="22"/>
      <c r="H110" s="15"/>
      <c r="I110" s="15"/>
      <c r="J110" s="15"/>
      <c r="K110" s="15"/>
    </row>
    <row r="111" spans="1:11" ht="12.75">
      <c r="A111" s="22"/>
      <c r="B111" s="22"/>
      <c r="C111" s="22"/>
      <c r="D111" s="30"/>
      <c r="E111" s="22"/>
      <c r="F111" s="22"/>
      <c r="G111" s="22"/>
      <c r="H111" s="15"/>
      <c r="I111" s="15"/>
      <c r="J111" s="15"/>
      <c r="K111" s="15"/>
    </row>
    <row r="112" spans="1:7" ht="12.75">
      <c r="A112" s="35"/>
      <c r="B112" s="35"/>
      <c r="C112" s="35"/>
      <c r="D112" s="36"/>
      <c r="E112" s="35"/>
      <c r="F112" s="35"/>
      <c r="G112" s="35"/>
    </row>
    <row r="113" spans="1:7" ht="12.75">
      <c r="A113" s="35"/>
      <c r="B113" s="35"/>
      <c r="C113" s="35"/>
      <c r="D113" s="36"/>
      <c r="E113" s="35"/>
      <c r="F113" s="35"/>
      <c r="G113" s="35"/>
    </row>
    <row r="114" spans="1:7" ht="12.75">
      <c r="A114" s="35"/>
      <c r="B114" s="35"/>
      <c r="C114" s="35"/>
      <c r="D114" s="36"/>
      <c r="E114" s="35"/>
      <c r="F114" s="35"/>
      <c r="G114" s="35"/>
    </row>
    <row r="115" spans="1:7" ht="12.75">
      <c r="A115" s="35"/>
      <c r="B115" s="35"/>
      <c r="C115" s="35"/>
      <c r="D115" s="36"/>
      <c r="E115" s="35"/>
      <c r="F115" s="35"/>
      <c r="G115" s="35"/>
    </row>
    <row r="116" spans="1:7" ht="12.75">
      <c r="A116" s="35"/>
      <c r="B116" s="35"/>
      <c r="C116" s="35"/>
      <c r="D116" s="36"/>
      <c r="E116" s="35"/>
      <c r="F116" s="35"/>
      <c r="G116" s="35"/>
    </row>
    <row r="117" spans="1:7" ht="12.75">
      <c r="A117" s="35"/>
      <c r="B117" s="35"/>
      <c r="C117" s="35"/>
      <c r="D117" s="36"/>
      <c r="E117" s="35"/>
      <c r="F117" s="35"/>
      <c r="G117" s="35"/>
    </row>
    <row r="118" spans="1:7" ht="12.75">
      <c r="A118" s="35"/>
      <c r="B118" s="35"/>
      <c r="C118" s="35"/>
      <c r="D118" s="36"/>
      <c r="E118" s="35"/>
      <c r="F118" s="35"/>
      <c r="G118" s="35"/>
    </row>
    <row r="119" spans="1:7" ht="12.75">
      <c r="A119" s="35"/>
      <c r="B119" s="35"/>
      <c r="C119" s="35"/>
      <c r="D119" s="36"/>
      <c r="E119" s="35"/>
      <c r="F119" s="35"/>
      <c r="G119" s="35"/>
    </row>
    <row r="120" spans="1:7" ht="12.75">
      <c r="A120" s="35"/>
      <c r="B120" s="35"/>
      <c r="C120" s="35"/>
      <c r="D120" s="36"/>
      <c r="E120" s="35"/>
      <c r="F120" s="35"/>
      <c r="G120" s="35"/>
    </row>
    <row r="121" spans="1:7" ht="12.75">
      <c r="A121" s="35"/>
      <c r="B121" s="35"/>
      <c r="C121" s="35"/>
      <c r="D121" s="36"/>
      <c r="E121" s="35"/>
      <c r="F121" s="35"/>
      <c r="G121" s="35"/>
    </row>
    <row r="122" spans="1:7" ht="12.75">
      <c r="A122" s="35"/>
      <c r="B122" s="35"/>
      <c r="C122" s="35"/>
      <c r="D122" s="36"/>
      <c r="E122" s="35"/>
      <c r="F122" s="35"/>
      <c r="G122" s="35"/>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67"/>
  <sheetViews>
    <sheetView workbookViewId="0" topLeftCell="A1">
      <selection activeCell="B8" sqref="B8"/>
    </sheetView>
  </sheetViews>
  <sheetFormatPr defaultColWidth="9.00390625" defaultRowHeight="12.75"/>
  <cols>
    <col min="1" max="6" width="8.875" style="6" customWidth="1"/>
    <col min="7" max="7" width="7.25390625" style="6" customWidth="1"/>
    <col min="8" max="8" width="8.375" style="6" customWidth="1"/>
    <col min="9" max="16384" width="8.875" style="6" customWidth="1"/>
  </cols>
  <sheetData>
    <row r="1" ht="15.75">
      <c r="A1" s="37" t="s">
        <v>62</v>
      </c>
    </row>
    <row r="2" ht="15.75">
      <c r="A2" s="37"/>
    </row>
    <row r="3" s="19" customFormat="1" ht="6" customHeight="1"/>
    <row r="4" spans="1:9" ht="12.75">
      <c r="A4" s="17" t="s">
        <v>63</v>
      </c>
      <c r="B4" s="15"/>
      <c r="C4" s="15"/>
      <c r="D4" s="15"/>
      <c r="E4" s="15"/>
      <c r="F4" s="15"/>
      <c r="G4" s="15"/>
      <c r="H4" s="15"/>
      <c r="I4" s="15"/>
    </row>
    <row r="5" spans="1:9" ht="12.75">
      <c r="A5" s="38" t="s">
        <v>64</v>
      </c>
      <c r="B5" s="15"/>
      <c r="C5" s="15"/>
      <c r="D5" s="15"/>
      <c r="E5" s="15"/>
      <c r="F5" s="15"/>
      <c r="G5" s="15"/>
      <c r="H5" s="15"/>
      <c r="I5" s="15"/>
    </row>
    <row r="6" spans="1:9" ht="12.75">
      <c r="A6" s="17"/>
      <c r="B6" s="15"/>
      <c r="C6" s="15"/>
      <c r="D6" s="15"/>
      <c r="E6" s="15"/>
      <c r="F6" s="15"/>
      <c r="G6" s="15"/>
      <c r="H6" s="15"/>
      <c r="I6" s="15"/>
    </row>
    <row r="7" spans="1:9" ht="12.75">
      <c r="A7" s="39"/>
      <c r="B7" s="40"/>
      <c r="C7" s="41"/>
      <c r="D7" s="42" t="s">
        <v>65</v>
      </c>
      <c r="E7" s="40"/>
      <c r="F7" s="41"/>
      <c r="G7" s="42" t="s">
        <v>66</v>
      </c>
      <c r="H7" s="40"/>
      <c r="I7" s="41"/>
    </row>
    <row r="8" spans="1:9" ht="12.75">
      <c r="A8" s="43" t="s">
        <v>67</v>
      </c>
      <c r="B8" s="29">
        <v>0</v>
      </c>
      <c r="C8" s="44" t="s">
        <v>68</v>
      </c>
      <c r="D8" s="45"/>
      <c r="E8" s="46"/>
      <c r="F8" s="47"/>
      <c r="G8" s="43" t="s">
        <v>67</v>
      </c>
      <c r="H8" s="48">
        <f>(bft+0.0001)/ABS((bft+0.0001))*(ABS((bft+0.0001))^1.47)/1.1327</f>
        <v>1.163818079417682E-06</v>
      </c>
      <c r="I8" s="44" t="s">
        <v>50</v>
      </c>
    </row>
    <row r="9" spans="1:9" ht="12.75">
      <c r="A9" s="43" t="s">
        <v>69</v>
      </c>
      <c r="B9" s="29">
        <v>0</v>
      </c>
      <c r="C9" s="49" t="str">
        <f>"Graden"</f>
        <v>Graden</v>
      </c>
      <c r="D9" s="45" t="s">
        <v>70</v>
      </c>
      <c r="E9" s="46"/>
      <c r="F9" s="47"/>
      <c r="G9" s="50" t="str">
        <f>"Alfa:"</f>
        <v>Alfa:</v>
      </c>
      <c r="H9" s="48">
        <f>windhoek/180*PI()</f>
        <v>0</v>
      </c>
      <c r="I9" s="44" t="s">
        <v>71</v>
      </c>
    </row>
    <row r="10" spans="1:9" ht="12.75">
      <c r="A10" s="43"/>
      <c r="B10" s="51"/>
      <c r="C10" s="49"/>
      <c r="D10" s="45" t="s">
        <v>72</v>
      </c>
      <c r="E10" s="46"/>
      <c r="F10" s="47"/>
      <c r="G10" s="50"/>
      <c r="H10" s="48"/>
      <c r="I10" s="44"/>
    </row>
    <row r="11" spans="1:9" ht="12.75">
      <c r="A11" s="52" t="s">
        <v>73</v>
      </c>
      <c r="B11" s="29">
        <v>0</v>
      </c>
      <c r="C11" s="53" t="s">
        <v>56</v>
      </c>
      <c r="D11" s="54" t="s">
        <v>74</v>
      </c>
      <c r="E11" s="55"/>
      <c r="F11" s="56"/>
      <c r="G11" s="54"/>
      <c r="H11" s="55"/>
      <c r="I11" s="56"/>
    </row>
    <row r="12" spans="1:9" s="19" customFormat="1" ht="5.25" customHeight="1">
      <c r="A12" s="18"/>
      <c r="B12" s="18"/>
      <c r="C12" s="18"/>
      <c r="D12" s="18"/>
      <c r="E12" s="18"/>
      <c r="F12" s="18"/>
      <c r="G12" s="18"/>
      <c r="H12" s="16"/>
      <c r="I12" s="16"/>
    </row>
    <row r="13" spans="1:10" ht="12.75">
      <c r="A13" s="17"/>
      <c r="B13" s="15"/>
      <c r="C13" s="17" t="s">
        <v>75</v>
      </c>
      <c r="D13" s="17" t="s">
        <v>76</v>
      </c>
      <c r="E13" s="17" t="s">
        <v>77</v>
      </c>
      <c r="F13" s="15" t="s">
        <v>78</v>
      </c>
      <c r="G13" s="15" t="s">
        <v>79</v>
      </c>
      <c r="H13" s="15" t="s">
        <v>79</v>
      </c>
      <c r="J13" s="6" t="s">
        <v>80</v>
      </c>
    </row>
    <row r="14" spans="1:10" ht="12.75">
      <c r="A14" s="15"/>
      <c r="B14" s="15"/>
      <c r="C14" s="15" t="s">
        <v>81</v>
      </c>
      <c r="D14" s="15" t="s">
        <v>50</v>
      </c>
      <c r="E14" s="17" t="s">
        <v>82</v>
      </c>
      <c r="F14" s="15" t="s">
        <v>56</v>
      </c>
      <c r="G14" s="15" t="s">
        <v>83</v>
      </c>
      <c r="H14" s="15" t="s">
        <v>83</v>
      </c>
      <c r="J14" s="6" t="s">
        <v>84</v>
      </c>
    </row>
    <row r="15" spans="1:8" ht="12.75">
      <c r="A15" s="15"/>
      <c r="B15" s="15"/>
      <c r="C15" s="15"/>
      <c r="D15" s="15"/>
      <c r="E15" s="17"/>
      <c r="F15" s="15"/>
      <c r="G15" s="15" t="s">
        <v>82</v>
      </c>
      <c r="H15" s="15" t="s">
        <v>85</v>
      </c>
    </row>
    <row r="16" spans="1:11" ht="12.75">
      <c r="A16" s="15" t="s">
        <v>86</v>
      </c>
      <c r="C16" s="57">
        <v>1</v>
      </c>
      <c r="D16" s="22">
        <f aca="true" t="shared" si="0" ref="D16:D47">C16/3.6</f>
        <v>0.2777777777777778</v>
      </c>
      <c r="E16" s="22">
        <f aca="true" t="shared" si="1" ref="E16:E47">D16*(wrijving+wind0*(D16+wind*COS(hoek))*(SQRT(wind*wind+2*wind*D16*COS(hoek)+D16*D16)+wind*ABS(SIN(hoek))/3)+g*massa*SIN(ATAN(helling/100)))</f>
        <v>0.8425720326340639</v>
      </c>
      <c r="F16" s="15">
        <f aca="true" t="shared" si="2" ref="F16:F47">0.95*((E16&lt;15)*12+(E16&gt;370)*30+((E16&gt;=15)*(E16&lt;=370))*(5.58*LN(E16)-3))</f>
        <v>11.399999999999999</v>
      </c>
      <c r="G16" s="15">
        <f aca="true" t="shared" si="3" ref="G16:G47">E16/F16*100</f>
        <v>7.39098274240407</v>
      </c>
      <c r="H16" s="15">
        <f>3.6/C16*G16</f>
        <v>26.607537872654653</v>
      </c>
      <c r="J16" s="58" t="s">
        <v>87</v>
      </c>
      <c r="K16" s="59"/>
    </row>
    <row r="17" spans="1:11" ht="12.75">
      <c r="A17" s="15" t="s">
        <v>88</v>
      </c>
      <c r="C17" s="57">
        <v>2</v>
      </c>
      <c r="D17" s="22">
        <f t="shared" si="0"/>
        <v>0.5555555555555556</v>
      </c>
      <c r="E17" s="22">
        <f t="shared" si="1"/>
        <v>1.7405759514117727</v>
      </c>
      <c r="F17" s="15">
        <f t="shared" si="2"/>
        <v>11.399999999999999</v>
      </c>
      <c r="G17" s="15">
        <f t="shared" si="3"/>
        <v>15.268210100103271</v>
      </c>
      <c r="H17" s="15">
        <f aca="true" t="shared" si="4" ref="H17:H65">3.6/C17*G17</f>
        <v>27.48277818018589</v>
      </c>
      <c r="J17" s="60" t="s">
        <v>89</v>
      </c>
      <c r="K17" s="61"/>
    </row>
    <row r="18" spans="1:11" ht="12.75">
      <c r="A18" s="15" t="s">
        <v>90</v>
      </c>
      <c r="C18" s="57">
        <v>3</v>
      </c>
      <c r="D18" s="22">
        <f t="shared" si="0"/>
        <v>0.8333333333333333</v>
      </c>
      <c r="E18" s="22">
        <f t="shared" si="1"/>
        <v>2.7494434876468885</v>
      </c>
      <c r="F18" s="15">
        <f t="shared" si="2"/>
        <v>11.399999999999999</v>
      </c>
      <c r="G18" s="15">
        <f t="shared" si="3"/>
        <v>24.117925330235867</v>
      </c>
      <c r="H18" s="15">
        <f t="shared" si="4"/>
        <v>28.94151039628304</v>
      </c>
      <c r="J18" s="62" t="s">
        <v>91</v>
      </c>
      <c r="K18" s="63"/>
    </row>
    <row r="19" spans="1:8" ht="12.75">
      <c r="A19" s="15"/>
      <c r="C19" s="57">
        <v>4</v>
      </c>
      <c r="D19" s="22">
        <f t="shared" si="0"/>
        <v>1.1111111111111112</v>
      </c>
      <c r="E19" s="22">
        <f t="shared" si="1"/>
        <v>3.924606372653175</v>
      </c>
      <c r="F19" s="15">
        <f t="shared" si="2"/>
        <v>11.399999999999999</v>
      </c>
      <c r="G19" s="15">
        <f t="shared" si="3"/>
        <v>34.42637168994013</v>
      </c>
      <c r="H19" s="15">
        <f t="shared" si="4"/>
        <v>30.983734520946122</v>
      </c>
    </row>
    <row r="20" spans="1:8" ht="12.75">
      <c r="A20" s="15"/>
      <c r="C20" s="57">
        <v>5</v>
      </c>
      <c r="D20" s="22">
        <f t="shared" si="0"/>
        <v>1.3888888888888888</v>
      </c>
      <c r="E20" s="22">
        <f t="shared" si="1"/>
        <v>5.321496337744391</v>
      </c>
      <c r="F20" s="15">
        <f t="shared" si="2"/>
        <v>11.399999999999999</v>
      </c>
      <c r="G20" s="15">
        <f t="shared" si="3"/>
        <v>46.67979243635432</v>
      </c>
      <c r="H20" s="15">
        <f t="shared" si="4"/>
        <v>33.60945055417511</v>
      </c>
    </row>
    <row r="21" spans="1:8" ht="12.75">
      <c r="A21" s="15"/>
      <c r="C21" s="57">
        <v>6</v>
      </c>
      <c r="D21" s="22">
        <f t="shared" si="0"/>
        <v>1.6666666666666665</v>
      </c>
      <c r="E21" s="22">
        <f t="shared" si="1"/>
        <v>6.995545114234302</v>
      </c>
      <c r="F21" s="15">
        <f t="shared" si="2"/>
        <v>11.399999999999999</v>
      </c>
      <c r="G21" s="15">
        <f t="shared" si="3"/>
        <v>61.36443082661669</v>
      </c>
      <c r="H21" s="15">
        <f t="shared" si="4"/>
        <v>36.81865849597001</v>
      </c>
    </row>
    <row r="22" spans="1:8" ht="12.75">
      <c r="A22" s="15"/>
      <c r="C22" s="57">
        <v>7</v>
      </c>
      <c r="D22" s="22">
        <f t="shared" si="0"/>
        <v>1.9444444444444444</v>
      </c>
      <c r="E22" s="22">
        <f t="shared" si="1"/>
        <v>9.002184433436671</v>
      </c>
      <c r="F22" s="15">
        <f t="shared" si="2"/>
        <v>11.399999999999999</v>
      </c>
      <c r="G22" s="15">
        <f t="shared" si="3"/>
        <v>78.96653011786555</v>
      </c>
      <c r="H22" s="15">
        <f t="shared" si="4"/>
        <v>40.61135834633086</v>
      </c>
    </row>
    <row r="23" spans="1:8" ht="12.75">
      <c r="A23" s="15"/>
      <c r="C23" s="57">
        <v>8</v>
      </c>
      <c r="D23" s="22">
        <f t="shared" si="0"/>
        <v>2.2222222222222223</v>
      </c>
      <c r="E23" s="22">
        <f t="shared" si="1"/>
        <v>11.396846026665262</v>
      </c>
      <c r="F23" s="15">
        <f t="shared" si="2"/>
        <v>11.399999999999999</v>
      </c>
      <c r="G23" s="15">
        <f t="shared" si="3"/>
        <v>99.97233356723916</v>
      </c>
      <c r="H23" s="15">
        <f t="shared" si="4"/>
        <v>44.987550105257625</v>
      </c>
    </row>
    <row r="24" spans="1:8" ht="12.75">
      <c r="A24" s="15"/>
      <c r="C24" s="57">
        <v>9</v>
      </c>
      <c r="D24" s="22">
        <f t="shared" si="0"/>
        <v>2.5</v>
      </c>
      <c r="E24" s="22">
        <f t="shared" si="1"/>
        <v>14.234961625233826</v>
      </c>
      <c r="F24" s="15">
        <f t="shared" si="2"/>
        <v>11.399999999999999</v>
      </c>
      <c r="G24" s="15">
        <f t="shared" si="3"/>
        <v>124.86808443187567</v>
      </c>
      <c r="H24" s="15">
        <f t="shared" si="4"/>
        <v>49.94723377275027</v>
      </c>
    </row>
    <row r="25" spans="1:8" ht="12.75">
      <c r="A25" s="15"/>
      <c r="C25" s="57">
        <v>10</v>
      </c>
      <c r="D25" s="22">
        <f t="shared" si="0"/>
        <v>2.7777777777777777</v>
      </c>
      <c r="E25" s="22">
        <f t="shared" si="1"/>
        <v>17.571962960456137</v>
      </c>
      <c r="F25" s="15">
        <f t="shared" si="2"/>
        <v>12.344280781281437</v>
      </c>
      <c r="G25" s="15">
        <f t="shared" si="3"/>
        <v>142.34902196247697</v>
      </c>
      <c r="H25" s="15">
        <f t="shared" si="4"/>
        <v>51.245647906491705</v>
      </c>
    </row>
    <row r="26" spans="1:8" ht="12.75">
      <c r="A26" s="15"/>
      <c r="C26" s="57">
        <v>11</v>
      </c>
      <c r="D26" s="22">
        <f t="shared" si="0"/>
        <v>3.0555555555555554</v>
      </c>
      <c r="E26" s="22">
        <f t="shared" si="1"/>
        <v>21.463281763645952</v>
      </c>
      <c r="F26" s="15">
        <f t="shared" si="2"/>
        <v>13.404687689664497</v>
      </c>
      <c r="G26" s="15">
        <f t="shared" si="3"/>
        <v>160.11773090539756</v>
      </c>
      <c r="H26" s="15">
        <f t="shared" si="4"/>
        <v>52.40216647813011</v>
      </c>
    </row>
    <row r="27" spans="1:8" ht="12.75">
      <c r="A27" s="15"/>
      <c r="C27" s="57">
        <v>12</v>
      </c>
      <c r="D27" s="22">
        <f t="shared" si="0"/>
        <v>3.333333333333333</v>
      </c>
      <c r="E27" s="22">
        <f t="shared" si="1"/>
        <v>25.964349766117035</v>
      </c>
      <c r="F27" s="15">
        <f t="shared" si="2"/>
        <v>14.413896226096405</v>
      </c>
      <c r="G27" s="15">
        <f t="shared" si="3"/>
        <v>180.13415220173778</v>
      </c>
      <c r="H27" s="15">
        <f t="shared" si="4"/>
        <v>54.04024566052133</v>
      </c>
    </row>
    <row r="28" spans="1:8" ht="12.75">
      <c r="A28" s="15"/>
      <c r="C28" s="57">
        <v>13</v>
      </c>
      <c r="D28" s="22">
        <f t="shared" si="0"/>
        <v>3.611111111111111</v>
      </c>
      <c r="E28" s="22">
        <f t="shared" si="1"/>
        <v>31.13059869918316</v>
      </c>
      <c r="F28" s="15">
        <f t="shared" si="2"/>
        <v>15.375851638635686</v>
      </c>
      <c r="G28" s="15">
        <f t="shared" si="3"/>
        <v>202.4642239715667</v>
      </c>
      <c r="H28" s="15">
        <f t="shared" si="4"/>
        <v>56.06701586904924</v>
      </c>
    </row>
    <row r="29" spans="1:8" ht="12.75">
      <c r="A29" s="15"/>
      <c r="C29" s="57">
        <v>14</v>
      </c>
      <c r="D29" s="22">
        <f t="shared" si="0"/>
        <v>3.888888888888889</v>
      </c>
      <c r="E29" s="22">
        <f t="shared" si="1"/>
        <v>37.01746029415807</v>
      </c>
      <c r="F29" s="15">
        <f t="shared" si="2"/>
        <v>16.293976805937266</v>
      </c>
      <c r="G29" s="15">
        <f t="shared" si="3"/>
        <v>227.1849330279487</v>
      </c>
      <c r="H29" s="15">
        <f t="shared" si="4"/>
        <v>58.41898277861539</v>
      </c>
    </row>
    <row r="30" spans="1:8" ht="12.75">
      <c r="A30" s="15"/>
      <c r="C30" s="57">
        <v>15</v>
      </c>
      <c r="D30" s="22">
        <f t="shared" si="0"/>
        <v>4.166666666666667</v>
      </c>
      <c r="E30" s="22">
        <f t="shared" si="1"/>
        <v>43.680366282355536</v>
      </c>
      <c r="F30" s="15">
        <f t="shared" si="2"/>
        <v>17.171340098745716</v>
      </c>
      <c r="G30" s="15">
        <f t="shared" si="3"/>
        <v>254.3794836696885</v>
      </c>
      <c r="H30" s="15">
        <f t="shared" si="4"/>
        <v>61.051076080725245</v>
      </c>
    </row>
    <row r="31" spans="1:8" ht="12.75">
      <c r="A31" s="15"/>
      <c r="C31" s="57">
        <v>16</v>
      </c>
      <c r="D31" s="22">
        <f t="shared" si="0"/>
        <v>4.444444444444445</v>
      </c>
      <c r="E31" s="22">
        <f t="shared" si="1"/>
        <v>51.174748395089324</v>
      </c>
      <c r="F31" s="15">
        <f t="shared" si="2"/>
        <v>18.01074018558879</v>
      </c>
      <c r="G31" s="15">
        <f t="shared" si="3"/>
        <v>284.1346211636352</v>
      </c>
      <c r="H31" s="15">
        <f t="shared" si="4"/>
        <v>63.93028976181792</v>
      </c>
    </row>
    <row r="32" spans="1:8" ht="12.75">
      <c r="A32" s="15"/>
      <c r="C32" s="57">
        <v>17</v>
      </c>
      <c r="D32" s="22">
        <f t="shared" si="0"/>
        <v>4.722222222222222</v>
      </c>
      <c r="E32" s="22">
        <f t="shared" si="1"/>
        <v>59.556038363673174</v>
      </c>
      <c r="F32" s="15">
        <f t="shared" si="2"/>
        <v>18.814750677629103</v>
      </c>
      <c r="G32" s="15">
        <f t="shared" si="3"/>
        <v>316.53907821635823</v>
      </c>
      <c r="H32" s="15">
        <f t="shared" si="4"/>
        <v>67.03180479875822</v>
      </c>
    </row>
    <row r="33" spans="1:8" ht="12.75">
      <c r="A33" s="15"/>
      <c r="C33" s="57">
        <v>18</v>
      </c>
      <c r="D33" s="22">
        <f t="shared" si="0"/>
        <v>5</v>
      </c>
      <c r="E33" s="22">
        <f t="shared" si="1"/>
        <v>68.87966791942088</v>
      </c>
      <c r="F33" s="15">
        <f t="shared" si="2"/>
        <v>19.5857458675335</v>
      </c>
      <c r="G33" s="15">
        <f t="shared" si="3"/>
        <v>351.68263892160434</v>
      </c>
      <c r="H33" s="15">
        <f t="shared" si="4"/>
        <v>70.33652778432086</v>
      </c>
    </row>
    <row r="34" spans="1:8" ht="12.75">
      <c r="A34" s="17"/>
      <c r="C34" s="57">
        <v>19</v>
      </c>
      <c r="D34" s="22">
        <f t="shared" si="0"/>
        <v>5.277777777777778</v>
      </c>
      <c r="E34" s="22">
        <f t="shared" si="1"/>
        <v>79.20106879364619</v>
      </c>
      <c r="F34" s="15">
        <f t="shared" si="2"/>
        <v>20.32591789586615</v>
      </c>
      <c r="G34" s="15">
        <f t="shared" si="3"/>
        <v>389.6555579896048</v>
      </c>
      <c r="H34" s="15">
        <f t="shared" si="4"/>
        <v>73.8294741453988</v>
      </c>
    </row>
    <row r="35" spans="1:8" ht="12.75">
      <c r="A35" s="17"/>
      <c r="C35" s="57">
        <v>20</v>
      </c>
      <c r="D35" s="22">
        <f t="shared" si="0"/>
        <v>5.555555555555555</v>
      </c>
      <c r="E35" s="22">
        <f t="shared" si="1"/>
        <v>90.57567271766287</v>
      </c>
      <c r="F35" s="15">
        <f t="shared" si="2"/>
        <v>21.03729020456063</v>
      </c>
      <c r="G35" s="15">
        <f t="shared" si="3"/>
        <v>430.5481924569694</v>
      </c>
      <c r="H35" s="15">
        <f t="shared" si="4"/>
        <v>77.49867464225449</v>
      </c>
    </row>
    <row r="36" spans="1:8" ht="12.75">
      <c r="A36" s="17"/>
      <c r="C36" s="57">
        <v>21</v>
      </c>
      <c r="D36" s="22">
        <f t="shared" si="0"/>
        <v>5.833333333333333</v>
      </c>
      <c r="E36" s="22">
        <f t="shared" si="1"/>
        <v>103.05891142278466</v>
      </c>
      <c r="F36" s="15">
        <f t="shared" si="2"/>
        <v>21.721729436298265</v>
      </c>
      <c r="G36" s="15">
        <f t="shared" si="3"/>
        <v>474.4507647285546</v>
      </c>
      <c r="H36" s="15">
        <f t="shared" si="4"/>
        <v>81.33441681060935</v>
      </c>
    </row>
    <row r="37" spans="1:8" ht="12.75">
      <c r="A37" s="15"/>
      <c r="C37" s="57">
        <v>22</v>
      </c>
      <c r="D37" s="22">
        <f t="shared" si="0"/>
        <v>6.111111111111111</v>
      </c>
      <c r="E37" s="22">
        <f t="shared" si="1"/>
        <v>116.70621664032537</v>
      </c>
      <c r="F37" s="15">
        <f t="shared" si="2"/>
        <v>22.38095664296141</v>
      </c>
      <c r="G37" s="15">
        <f t="shared" si="3"/>
        <v>521.453209092509</v>
      </c>
      <c r="H37" s="15">
        <f t="shared" si="4"/>
        <v>85.32870694241058</v>
      </c>
    </row>
    <row r="38" spans="1:8" ht="12.75">
      <c r="A38" s="17"/>
      <c r="C38" s="57">
        <v>23</v>
      </c>
      <c r="D38" s="22">
        <f t="shared" si="0"/>
        <v>6.388888888888888</v>
      </c>
      <c r="E38" s="22">
        <f t="shared" si="1"/>
        <v>131.5730201015987</v>
      </c>
      <c r="F38" s="15">
        <f t="shared" si="2"/>
        <v>23.016558074254373</v>
      </c>
      <c r="G38" s="15">
        <f t="shared" si="3"/>
        <v>571.6450725478903</v>
      </c>
      <c r="H38" s="15">
        <f t="shared" si="4"/>
        <v>89.47488092053936</v>
      </c>
    </row>
    <row r="39" spans="1:8" ht="12.75">
      <c r="A39" s="17"/>
      <c r="C39" s="57">
        <v>24</v>
      </c>
      <c r="D39" s="22">
        <f t="shared" si="0"/>
        <v>6.666666666666666</v>
      </c>
      <c r="E39" s="22">
        <f t="shared" si="1"/>
        <v>147.71475353791845</v>
      </c>
      <c r="F39" s="15">
        <f t="shared" si="2"/>
        <v>23.629995570463873</v>
      </c>
      <c r="G39" s="15">
        <f t="shared" si="3"/>
        <v>625.1154516615879</v>
      </c>
      <c r="H39" s="15">
        <f t="shared" si="4"/>
        <v>93.76731774923819</v>
      </c>
    </row>
    <row r="40" spans="1:8" ht="12.75">
      <c r="A40" s="22"/>
      <c r="C40" s="57">
        <v>25</v>
      </c>
      <c r="D40" s="22">
        <f t="shared" si="0"/>
        <v>6.944444444444445</v>
      </c>
      <c r="E40" s="22">
        <f t="shared" si="1"/>
        <v>165.18684868059844</v>
      </c>
      <c r="F40" s="15">
        <f t="shared" si="2"/>
        <v>24.22261649931855</v>
      </c>
      <c r="G40" s="15">
        <f t="shared" si="3"/>
        <v>681.9529537002974</v>
      </c>
      <c r="H40" s="15">
        <f t="shared" si="4"/>
        <v>98.20122533284284</v>
      </c>
    </row>
    <row r="41" spans="1:8" ht="12.75">
      <c r="A41" s="22"/>
      <c r="C41" s="57">
        <v>26</v>
      </c>
      <c r="D41" s="22">
        <f t="shared" si="0"/>
        <v>7.222222222222222</v>
      </c>
      <c r="E41" s="22">
        <f t="shared" si="1"/>
        <v>184.0447372609523</v>
      </c>
      <c r="F41" s="15">
        <f t="shared" si="2"/>
        <v>24.795663165186898</v>
      </c>
      <c r="G41" s="15">
        <f t="shared" si="3"/>
        <v>742.2456743135269</v>
      </c>
      <c r="H41" s="15">
        <f t="shared" si="4"/>
        <v>102.77247798187297</v>
      </c>
    </row>
    <row r="42" spans="1:8" ht="12.75">
      <c r="A42" s="22"/>
      <c r="C42" s="57">
        <v>27</v>
      </c>
      <c r="D42" s="22">
        <f t="shared" si="0"/>
        <v>7.5</v>
      </c>
      <c r="E42" s="22">
        <f t="shared" si="1"/>
        <v>204.3438510102939</v>
      </c>
      <c r="F42" s="15">
        <f t="shared" si="2"/>
        <v>25.350281635227073</v>
      </c>
      <c r="G42" s="15">
        <f t="shared" si="3"/>
        <v>806.0811865945311</v>
      </c>
      <c r="H42" s="15">
        <f t="shared" si="4"/>
        <v>107.47749154593748</v>
      </c>
    </row>
    <row r="43" spans="1:8" ht="12.75">
      <c r="A43" s="22"/>
      <c r="C43" s="57">
        <v>28</v>
      </c>
      <c r="D43" s="22">
        <f t="shared" si="0"/>
        <v>7.777777777777778</v>
      </c>
      <c r="E43" s="22">
        <f t="shared" si="1"/>
        <v>226.13962165993695</v>
      </c>
      <c r="F43" s="15">
        <f t="shared" si="2"/>
        <v>25.887529950999863</v>
      </c>
      <c r="G43" s="15">
        <f t="shared" si="3"/>
        <v>873.5465379971591</v>
      </c>
      <c r="H43" s="15">
        <f t="shared" si="4"/>
        <v>112.31312631392048</v>
      </c>
    </row>
    <row r="44" spans="1:8" ht="12.75">
      <c r="A44" s="22"/>
      <c r="C44" s="57">
        <v>29</v>
      </c>
      <c r="D44" s="22">
        <f t="shared" si="0"/>
        <v>8.055555555555555</v>
      </c>
      <c r="E44" s="22">
        <f t="shared" si="1"/>
        <v>249.48748094119526</v>
      </c>
      <c r="F44" s="15">
        <f t="shared" si="2"/>
        <v>26.408385716662085</v>
      </c>
      <c r="G44" s="15">
        <f t="shared" si="3"/>
        <v>944.7282526768905</v>
      </c>
      <c r="H44" s="15">
        <f t="shared" si="4"/>
        <v>117.27661067713123</v>
      </c>
    </row>
    <row r="45" spans="1:8" ht="12.75">
      <c r="A45" s="22"/>
      <c r="C45" s="57">
        <v>30</v>
      </c>
      <c r="D45" s="22">
        <f t="shared" si="0"/>
        <v>8.333333333333334</v>
      </c>
      <c r="E45" s="22">
        <f t="shared" si="1"/>
        <v>274.44286058538256</v>
      </c>
      <c r="F45" s="15">
        <f t="shared" si="2"/>
        <v>26.913753073031813</v>
      </c>
      <c r="G45" s="15">
        <f t="shared" si="3"/>
        <v>1019.7123375571894</v>
      </c>
      <c r="H45" s="15">
        <f t="shared" si="4"/>
        <v>122.36548050686274</v>
      </c>
    </row>
    <row r="46" spans="1:8" ht="12.75">
      <c r="A46" s="22"/>
      <c r="C46" s="57">
        <v>31</v>
      </c>
      <c r="D46" s="22">
        <f t="shared" si="0"/>
        <v>8.61111111111111</v>
      </c>
      <c r="E46" s="22">
        <f t="shared" si="1"/>
        <v>301.0611923238126</v>
      </c>
      <c r="F46" s="15">
        <f t="shared" si="2"/>
        <v>27.40446908001268</v>
      </c>
      <c r="G46" s="15">
        <f t="shared" si="3"/>
        <v>1098.5842909227902</v>
      </c>
      <c r="H46" s="15">
        <f t="shared" si="4"/>
        <v>127.57753055877563</v>
      </c>
    </row>
    <row r="47" spans="1:8" ht="12.75">
      <c r="A47" s="22"/>
      <c r="C47" s="57">
        <v>32</v>
      </c>
      <c r="D47" s="22">
        <f t="shared" si="0"/>
        <v>8.88888888888889</v>
      </c>
      <c r="E47" s="22">
        <f t="shared" si="1"/>
        <v>329.3979078877992</v>
      </c>
      <c r="F47" s="15">
        <f t="shared" si="2"/>
        <v>27.88130953860715</v>
      </c>
      <c r="G47" s="15">
        <f t="shared" si="3"/>
        <v>1181.4291126881362</v>
      </c>
      <c r="H47" s="15">
        <f t="shared" si="4"/>
        <v>132.91077517741533</v>
      </c>
    </row>
    <row r="48" spans="1:8" ht="12.75">
      <c r="A48" s="22"/>
      <c r="C48" s="57">
        <v>33</v>
      </c>
      <c r="D48" s="22">
        <f aca="true" t="shared" si="5" ref="D48:D65">C48/3.6</f>
        <v>9.166666666666666</v>
      </c>
      <c r="E48" s="22">
        <f aca="true" t="shared" si="6" ref="E48:E65">D48*(wrijving+wind0*(D48+wind*COS(hoek))*(SQRT(wind*wind+2*wind*D48*COS(hoek)+D48*D48)+wind*ABS(SIN(hoek))/3)+g*massa*SIN(ATAN(helling/100)))</f>
        <v>359.5084390086559</v>
      </c>
      <c r="F48" s="15">
        <f aca="true" t="shared" si="7" ref="F48:F65">0.95*((E48&lt;15)*12+(E48&gt;370)*30+((E48&gt;=15)*(E48&lt;=370))*(5.58*LN(E48)-3))</f>
        <v>28.344994288902427</v>
      </c>
      <c r="G48" s="15">
        <f aca="true" t="shared" si="8" ref="G48:G65">E48/F48*100</f>
        <v>1268.3313157322098</v>
      </c>
      <c r="H48" s="15">
        <f t="shared" si="4"/>
        <v>138.36341626169562</v>
      </c>
    </row>
    <row r="49" spans="1:8" ht="12.75">
      <c r="A49" s="22"/>
      <c r="C49" s="57">
        <v>34</v>
      </c>
      <c r="D49" s="22">
        <f t="shared" si="5"/>
        <v>9.444444444444445</v>
      </c>
      <c r="E49" s="22">
        <f t="shared" si="6"/>
        <v>391.44821741769687</v>
      </c>
      <c r="F49" s="15">
        <f t="shared" si="7"/>
        <v>28.5</v>
      </c>
      <c r="G49" s="15">
        <f t="shared" si="8"/>
        <v>1373.5025172550768</v>
      </c>
      <c r="H49" s="15">
        <f t="shared" si="4"/>
        <v>145.42967829759635</v>
      </c>
    </row>
    <row r="50" spans="1:8" ht="12.75">
      <c r="A50" s="22"/>
      <c r="C50" s="57">
        <v>35</v>
      </c>
      <c r="D50" s="22">
        <f t="shared" si="5"/>
        <v>9.722222222222221</v>
      </c>
      <c r="E50" s="22">
        <f t="shared" si="6"/>
        <v>425.27267484623536</v>
      </c>
      <c r="F50" s="15">
        <f t="shared" si="7"/>
        <v>28.5</v>
      </c>
      <c r="G50" s="15">
        <f t="shared" si="8"/>
        <v>1492.1848240218785</v>
      </c>
      <c r="H50" s="15">
        <f t="shared" si="4"/>
        <v>153.48186761367893</v>
      </c>
    </row>
    <row r="51" spans="1:8" ht="12.75">
      <c r="A51" s="22"/>
      <c r="C51" s="57">
        <v>36</v>
      </c>
      <c r="D51" s="22">
        <f t="shared" si="5"/>
        <v>10</v>
      </c>
      <c r="E51" s="22">
        <f t="shared" si="6"/>
        <v>461.0372430255856</v>
      </c>
      <c r="F51" s="15">
        <f t="shared" si="7"/>
        <v>28.5</v>
      </c>
      <c r="G51" s="15">
        <f t="shared" si="8"/>
        <v>1617.6745369318794</v>
      </c>
      <c r="H51" s="15">
        <f t="shared" si="4"/>
        <v>161.76745369318795</v>
      </c>
    </row>
    <row r="52" spans="1:8" ht="12.75">
      <c r="A52" s="22"/>
      <c r="C52" s="57">
        <v>37</v>
      </c>
      <c r="D52" s="22">
        <f t="shared" si="5"/>
        <v>10.277777777777777</v>
      </c>
      <c r="E52" s="22">
        <f t="shared" si="6"/>
        <v>498.79735368706116</v>
      </c>
      <c r="F52" s="15">
        <f t="shared" si="7"/>
        <v>28.5</v>
      </c>
      <c r="G52" s="15">
        <f t="shared" si="8"/>
        <v>1750.1661532879339</v>
      </c>
      <c r="H52" s="15">
        <f t="shared" si="4"/>
        <v>170.28643653612332</v>
      </c>
    </row>
    <row r="53" spans="1:8" ht="12.75">
      <c r="A53" s="22"/>
      <c r="C53" s="57">
        <v>38</v>
      </c>
      <c r="D53" s="22">
        <f t="shared" si="5"/>
        <v>10.555555555555555</v>
      </c>
      <c r="E53" s="22">
        <f t="shared" si="6"/>
        <v>538.6084385619758</v>
      </c>
      <c r="F53" s="15">
        <f t="shared" si="7"/>
        <v>28.5</v>
      </c>
      <c r="G53" s="15">
        <f t="shared" si="8"/>
        <v>1889.8541703928977</v>
      </c>
      <c r="H53" s="15">
        <f t="shared" si="4"/>
        <v>179.03881614248505</v>
      </c>
    </row>
    <row r="54" spans="1:8" ht="12.75">
      <c r="A54" s="22"/>
      <c r="C54" s="57">
        <v>39</v>
      </c>
      <c r="D54" s="22">
        <f t="shared" si="5"/>
        <v>10.833333333333334</v>
      </c>
      <c r="E54" s="22">
        <f t="shared" si="6"/>
        <v>580.5259293816436</v>
      </c>
      <c r="F54" s="15">
        <f t="shared" si="7"/>
        <v>28.5</v>
      </c>
      <c r="G54" s="15">
        <f t="shared" si="8"/>
        <v>2036.9330855496266</v>
      </c>
      <c r="H54" s="15">
        <f t="shared" si="4"/>
        <v>188.02459251227324</v>
      </c>
    </row>
    <row r="55" spans="1:8" ht="12.75">
      <c r="A55" s="22"/>
      <c r="C55" s="57">
        <v>40</v>
      </c>
      <c r="D55" s="22">
        <f t="shared" si="5"/>
        <v>11.11111111111111</v>
      </c>
      <c r="E55" s="22">
        <f t="shared" si="6"/>
        <v>624.6052578773774</v>
      </c>
      <c r="F55" s="15">
        <f t="shared" si="7"/>
        <v>28.5</v>
      </c>
      <c r="G55" s="15">
        <f t="shared" si="8"/>
        <v>2191.5973960609736</v>
      </c>
      <c r="H55" s="15">
        <f t="shared" si="4"/>
        <v>197.2437656454876</v>
      </c>
    </row>
    <row r="56" spans="1:8" ht="12.75">
      <c r="A56" s="22"/>
      <c r="C56" s="57">
        <v>41</v>
      </c>
      <c r="D56" s="22">
        <f t="shared" si="5"/>
        <v>11.38888888888889</v>
      </c>
      <c r="E56" s="22">
        <f t="shared" si="6"/>
        <v>670.901855780492</v>
      </c>
      <c r="F56" s="15">
        <f t="shared" si="7"/>
        <v>28.5</v>
      </c>
      <c r="G56" s="15">
        <f t="shared" si="8"/>
        <v>2354.0415992297967</v>
      </c>
      <c r="H56" s="15">
        <f t="shared" si="4"/>
        <v>206.6963355421285</v>
      </c>
    </row>
    <row r="57" spans="1:8" ht="12.75">
      <c r="A57" s="22"/>
      <c r="C57" s="57">
        <v>42</v>
      </c>
      <c r="D57" s="22">
        <f t="shared" si="5"/>
        <v>11.666666666666666</v>
      </c>
      <c r="E57" s="22">
        <f t="shared" si="6"/>
        <v>719.4711548223005</v>
      </c>
      <c r="F57" s="15">
        <f t="shared" si="7"/>
        <v>28.5</v>
      </c>
      <c r="G57" s="15">
        <f t="shared" si="8"/>
        <v>2524.4601923589494</v>
      </c>
      <c r="H57" s="15">
        <f t="shared" si="4"/>
        <v>216.38230220219566</v>
      </c>
    </row>
    <row r="58" spans="1:8" ht="12.75">
      <c r="A58" s="22"/>
      <c r="C58" s="57">
        <v>43</v>
      </c>
      <c r="D58" s="22">
        <f t="shared" si="5"/>
        <v>11.944444444444445</v>
      </c>
      <c r="E58" s="22">
        <f t="shared" si="6"/>
        <v>770.368586734117</v>
      </c>
      <c r="F58" s="15">
        <f t="shared" si="7"/>
        <v>28.5</v>
      </c>
      <c r="G58" s="15">
        <f t="shared" si="8"/>
        <v>2703.047672751288</v>
      </c>
      <c r="H58" s="15">
        <f t="shared" si="4"/>
        <v>226.3016656256892</v>
      </c>
    </row>
    <row r="59" spans="1:8" ht="12.75">
      <c r="A59" s="22"/>
      <c r="C59" s="57">
        <v>44</v>
      </c>
      <c r="D59" s="22">
        <f t="shared" si="5"/>
        <v>12.222222222222221</v>
      </c>
      <c r="E59" s="22">
        <f t="shared" si="6"/>
        <v>823.6495832472551</v>
      </c>
      <c r="F59" s="15">
        <f t="shared" si="7"/>
        <v>28.5</v>
      </c>
      <c r="G59" s="15">
        <f t="shared" si="8"/>
        <v>2889.998537709667</v>
      </c>
      <c r="H59" s="15">
        <f t="shared" si="4"/>
        <v>236.45442581260912</v>
      </c>
    </row>
    <row r="60" spans="1:8" ht="12.75">
      <c r="A60" s="22"/>
      <c r="C60" s="57">
        <v>45</v>
      </c>
      <c r="D60" s="22">
        <f t="shared" si="5"/>
        <v>12.5</v>
      </c>
      <c r="E60" s="22">
        <f t="shared" si="6"/>
        <v>879.3695760930289</v>
      </c>
      <c r="F60" s="15">
        <f t="shared" si="7"/>
        <v>28.5</v>
      </c>
      <c r="G60" s="15">
        <f t="shared" si="8"/>
        <v>3085.5072845369436</v>
      </c>
      <c r="H60" s="15">
        <f t="shared" si="4"/>
        <v>246.8405827629555</v>
      </c>
    </row>
    <row r="61" spans="1:8" ht="12.75">
      <c r="A61" s="22"/>
      <c r="C61" s="57">
        <v>46</v>
      </c>
      <c r="D61" s="22">
        <f t="shared" si="5"/>
        <v>12.777777777777777</v>
      </c>
      <c r="E61" s="22">
        <f t="shared" si="6"/>
        <v>937.5839970027516</v>
      </c>
      <c r="F61" s="15">
        <f t="shared" si="7"/>
        <v>28.5</v>
      </c>
      <c r="G61" s="15">
        <f t="shared" si="8"/>
        <v>3289.768410535971</v>
      </c>
      <c r="H61" s="15">
        <f t="shared" si="4"/>
        <v>257.46013647672817</v>
      </c>
    </row>
    <row r="62" spans="1:8" ht="12.75">
      <c r="A62" s="22"/>
      <c r="C62" s="57">
        <v>47</v>
      </c>
      <c r="D62" s="22">
        <f t="shared" si="5"/>
        <v>13.055555555555555</v>
      </c>
      <c r="E62" s="22">
        <f t="shared" si="6"/>
        <v>998.3482777077373</v>
      </c>
      <c r="F62" s="15">
        <f t="shared" si="7"/>
        <v>28.5</v>
      </c>
      <c r="G62" s="15">
        <f t="shared" si="8"/>
        <v>3502.9764130096046</v>
      </c>
      <c r="H62" s="15">
        <f t="shared" si="4"/>
        <v>268.31308695392715</v>
      </c>
    </row>
    <row r="63" spans="1:8" ht="12.75">
      <c r="A63" s="22"/>
      <c r="C63" s="57">
        <v>48</v>
      </c>
      <c r="D63" s="22">
        <f t="shared" si="5"/>
        <v>13.333333333333332</v>
      </c>
      <c r="E63" s="22">
        <f t="shared" si="6"/>
        <v>1061.7178499392994</v>
      </c>
      <c r="F63" s="15">
        <f t="shared" si="7"/>
        <v>28.5</v>
      </c>
      <c r="G63" s="15">
        <f t="shared" si="8"/>
        <v>3725.3257892607</v>
      </c>
      <c r="H63" s="15">
        <f t="shared" si="4"/>
        <v>279.3994341945525</v>
      </c>
    </row>
    <row r="64" spans="1:8" ht="12.75">
      <c r="A64" s="22"/>
      <c r="C64" s="57">
        <v>49</v>
      </c>
      <c r="D64" s="22">
        <f t="shared" si="5"/>
        <v>13.61111111111111</v>
      </c>
      <c r="E64" s="22">
        <f t="shared" si="6"/>
        <v>1127.7481454287527</v>
      </c>
      <c r="F64" s="15">
        <f t="shared" si="7"/>
        <v>28.5</v>
      </c>
      <c r="G64" s="15">
        <f t="shared" si="8"/>
        <v>3957.0110365921146</v>
      </c>
      <c r="H64" s="15">
        <f t="shared" si="4"/>
        <v>290.71917819860437</v>
      </c>
    </row>
    <row r="65" spans="1:8" ht="12.75">
      <c r="A65" s="22"/>
      <c r="C65" s="57">
        <v>50</v>
      </c>
      <c r="D65" s="22">
        <f t="shared" si="5"/>
        <v>13.88888888888889</v>
      </c>
      <c r="E65" s="22">
        <f t="shared" si="6"/>
        <v>1196.49459590741</v>
      </c>
      <c r="F65" s="15">
        <f t="shared" si="7"/>
        <v>28.5</v>
      </c>
      <c r="G65" s="15">
        <f t="shared" si="8"/>
        <v>4198.226652306702</v>
      </c>
      <c r="H65" s="15">
        <f t="shared" si="4"/>
        <v>302.2723189660826</v>
      </c>
    </row>
    <row r="67" ht="12.75">
      <c r="D67" s="6" t="s">
        <v>92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ransitionEvaluation="1"/>
  <dimension ref="A1:L76"/>
  <sheetViews>
    <sheetView showGridLines="0" workbookViewId="0" topLeftCell="A1">
      <selection activeCell="B12" sqref="B12"/>
    </sheetView>
  </sheetViews>
  <sheetFormatPr defaultColWidth="9.75390625" defaultRowHeight="12.75"/>
  <cols>
    <col min="1" max="3" width="9.75390625" style="65" customWidth="1"/>
    <col min="4" max="4" width="7.875" style="65" customWidth="1"/>
    <col min="5" max="5" width="7.75390625" style="65" customWidth="1"/>
    <col min="6" max="6" width="6.875" style="65" customWidth="1"/>
    <col min="7" max="7" width="7.50390625" style="65" customWidth="1"/>
    <col min="8" max="8" width="7.25390625" style="65" customWidth="1"/>
    <col min="9" max="9" width="4.25390625" style="65" customWidth="1"/>
    <col min="10" max="16384" width="9.75390625" style="65" customWidth="1"/>
  </cols>
  <sheetData>
    <row r="1" ht="15.75">
      <c r="A1" s="64" t="s">
        <v>93</v>
      </c>
    </row>
    <row r="2" ht="12.75">
      <c r="A2" s="66"/>
    </row>
    <row r="3" s="68" customFormat="1" ht="12.75">
      <c r="A3" s="67"/>
    </row>
    <row r="4" ht="12.75">
      <c r="A4" s="65" t="s">
        <v>94</v>
      </c>
    </row>
    <row r="5" s="69" customFormat="1" ht="12.75"/>
    <row r="6" spans="1:4" ht="12.75">
      <c r="A6" s="66" t="s">
        <v>44</v>
      </c>
      <c r="B6" s="70">
        <f>[0]!wrijving</f>
        <v>3</v>
      </c>
      <c r="C6" s="66" t="s">
        <v>45</v>
      </c>
      <c r="D6" s="71"/>
    </row>
    <row r="7" spans="1:12" ht="12.75">
      <c r="A7" s="66" t="s">
        <v>51</v>
      </c>
      <c r="D7" s="71"/>
      <c r="F7" s="70">
        <f>[0]!gewicht</f>
        <v>95</v>
      </c>
      <c r="G7" s="66" t="s">
        <v>95</v>
      </c>
      <c r="H7" s="72" t="s">
        <v>96</v>
      </c>
      <c r="I7" s="73"/>
      <c r="J7" s="73"/>
      <c r="K7" s="73"/>
      <c r="L7" s="74"/>
    </row>
    <row r="8" spans="1:12" ht="12.75">
      <c r="A8" s="66" t="s">
        <v>97</v>
      </c>
      <c r="B8" s="70">
        <f>[0]!g</f>
        <v>9.81</v>
      </c>
      <c r="C8" s="66" t="s">
        <v>98</v>
      </c>
      <c r="D8" s="71"/>
      <c r="E8" s="70" t="str">
        <f>"Cw:"</f>
        <v>Cw:</v>
      </c>
      <c r="F8" s="70">
        <f>[0]!cw</f>
        <v>0.4310371426958159</v>
      </c>
      <c r="G8" s="66" t="s">
        <v>57</v>
      </c>
      <c r="H8" s="75" t="s">
        <v>99</v>
      </c>
      <c r="I8" s="76"/>
      <c r="J8" s="76"/>
      <c r="K8" s="76"/>
      <c r="L8" s="77"/>
    </row>
    <row r="9" spans="1:12" ht="12.75">
      <c r="A9" s="66" t="s">
        <v>67</v>
      </c>
      <c r="B9" s="70">
        <v>0</v>
      </c>
      <c r="C9" s="66" t="s">
        <v>100</v>
      </c>
      <c r="D9" s="71"/>
      <c r="E9" s="66" t="s">
        <v>67</v>
      </c>
      <c r="F9" s="70">
        <f>($B$9+0.0001)/ABS(($B$9+0.0001))*(ABS(($B$9+0.0001))^1.47)/1.1327</f>
        <v>1.163818079417682E-06</v>
      </c>
      <c r="G9" s="66" t="s">
        <v>50</v>
      </c>
      <c r="H9" s="75" t="s">
        <v>101</v>
      </c>
      <c r="I9" s="76"/>
      <c r="J9" s="76"/>
      <c r="K9" s="76"/>
      <c r="L9" s="77"/>
    </row>
    <row r="10" spans="1:12" ht="12.75">
      <c r="A10" s="66" t="s">
        <v>69</v>
      </c>
      <c r="B10" s="70">
        <f>[0]!windhoek</f>
        <v>0</v>
      </c>
      <c r="C10" s="70" t="str">
        <f>"Graden"</f>
        <v>Graden</v>
      </c>
      <c r="D10" s="71"/>
      <c r="E10" s="70" t="str">
        <f>"Alfa:"</f>
        <v>Alfa:</v>
      </c>
      <c r="F10" s="70">
        <f>$B$10/180*PI()</f>
        <v>0</v>
      </c>
      <c r="G10" s="66" t="s">
        <v>71</v>
      </c>
      <c r="H10" s="78" t="s">
        <v>102</v>
      </c>
      <c r="I10" s="79"/>
      <c r="J10" s="79"/>
      <c r="K10" s="79"/>
      <c r="L10" s="80"/>
    </row>
    <row r="11" s="68" customFormat="1" ht="12.75"/>
    <row r="12" spans="1:4" ht="12.75">
      <c r="A12" s="70" t="s">
        <v>103</v>
      </c>
      <c r="B12" s="81">
        <v>0.5</v>
      </c>
      <c r="C12" s="66" t="s">
        <v>104</v>
      </c>
      <c r="D12" s="65" t="s">
        <v>105</v>
      </c>
    </row>
    <row r="13" spans="1:8" s="68" customFormat="1" ht="12.75">
      <c r="A13" s="67"/>
      <c r="B13" s="67"/>
      <c r="C13" s="67"/>
      <c r="D13" s="67"/>
      <c r="E13" s="67"/>
      <c r="F13" s="67"/>
      <c r="G13" s="67"/>
      <c r="H13" s="67"/>
    </row>
    <row r="14" spans="1:8" s="84" customFormat="1" ht="25.5">
      <c r="A14" s="82" t="s">
        <v>106</v>
      </c>
      <c r="B14" s="83" t="s">
        <v>107</v>
      </c>
      <c r="C14" s="82" t="s">
        <v>108</v>
      </c>
      <c r="D14" s="82" t="s">
        <v>109</v>
      </c>
      <c r="E14" s="82" t="s">
        <v>110</v>
      </c>
      <c r="F14" s="82" t="s">
        <v>110</v>
      </c>
      <c r="G14" s="82" t="s">
        <v>111</v>
      </c>
      <c r="H14" s="82" t="s">
        <v>112</v>
      </c>
    </row>
    <row r="15" spans="1:8" s="84" customFormat="1" ht="12.75">
      <c r="A15" s="82" t="s">
        <v>113</v>
      </c>
      <c r="B15" s="82" t="s">
        <v>114</v>
      </c>
      <c r="C15" s="82" t="s">
        <v>115</v>
      </c>
      <c r="D15" s="82" t="s">
        <v>116</v>
      </c>
      <c r="E15" s="82" t="s">
        <v>50</v>
      </c>
      <c r="F15" s="82" t="s">
        <v>117</v>
      </c>
      <c r="G15" s="82" t="s">
        <v>114</v>
      </c>
      <c r="H15" s="82" t="s">
        <v>50</v>
      </c>
    </row>
    <row r="16" spans="1:10" ht="12.75">
      <c r="A16" s="70">
        <v>0</v>
      </c>
      <c r="B16" s="85">
        <v>200</v>
      </c>
      <c r="C16" s="85">
        <v>0</v>
      </c>
      <c r="D16" s="70">
        <v>0</v>
      </c>
      <c r="E16" s="81">
        <v>5</v>
      </c>
      <c r="F16" s="70">
        <f aca="true" t="shared" si="0" ref="F16:F47">E16*3.6</f>
        <v>18</v>
      </c>
      <c r="G16" s="70">
        <f aca="true" t="shared" si="1" ref="G16:G47">E16*($B$6+$F$8*(E16+$F$9*COS($F$10))*(SQRT($F$9*$F$9+2*$F$9*E16*COS($F$10)+E16*E16)+$F$9*ABS(SIN($F$10))/3)+$B$8*$F$7*SIN(ATAN(C16/100)))</f>
        <v>68.87966791942088</v>
      </c>
      <c r="H16" s="70">
        <f aca="true" t="shared" si="2" ref="H16:H47">$B$12*(B16-G16)/E16/$F$7</f>
        <v>0.1380214021900833</v>
      </c>
      <c r="J16" s="65" t="s">
        <v>118</v>
      </c>
    </row>
    <row r="17" spans="1:10" ht="12.75">
      <c r="A17" s="70">
        <f aca="true" t="shared" si="3" ref="A17:A48">A16+$B$12</f>
        <v>0.5</v>
      </c>
      <c r="B17" s="85">
        <v>200</v>
      </c>
      <c r="C17" s="85">
        <v>0</v>
      </c>
      <c r="D17" s="70">
        <f aca="true" t="shared" si="4" ref="D17:D48">D16+E16*$B$12</f>
        <v>2.5</v>
      </c>
      <c r="E17" s="70">
        <f aca="true" t="shared" si="5" ref="E17:E48">E16+H16</f>
        <v>5.138021402190083</v>
      </c>
      <c r="F17" s="70">
        <f t="shared" si="0"/>
        <v>18.4968770478843</v>
      </c>
      <c r="G17" s="70">
        <f t="shared" si="1"/>
        <v>73.87996143118266</v>
      </c>
      <c r="H17" s="70">
        <f t="shared" si="2"/>
        <v>0.12919169164905492</v>
      </c>
      <c r="J17" s="65" t="s">
        <v>119</v>
      </c>
    </row>
    <row r="18" spans="1:10" ht="12.75">
      <c r="A18" s="70">
        <f t="shared" si="3"/>
        <v>1</v>
      </c>
      <c r="B18" s="85">
        <v>200</v>
      </c>
      <c r="C18" s="85">
        <v>0</v>
      </c>
      <c r="D18" s="70">
        <f t="shared" si="4"/>
        <v>5.069010701095042</v>
      </c>
      <c r="E18" s="70">
        <f t="shared" si="5"/>
        <v>5.267213093839138</v>
      </c>
      <c r="F18" s="70">
        <f t="shared" si="0"/>
        <v>18.9619671378209</v>
      </c>
      <c r="G18" s="70">
        <f t="shared" si="1"/>
        <v>78.78960080482818</v>
      </c>
      <c r="H18" s="70">
        <f t="shared" si="2"/>
        <v>0.12111707995912645</v>
      </c>
      <c r="J18" s="65" t="s">
        <v>120</v>
      </c>
    </row>
    <row r="19" spans="1:8" ht="12.75">
      <c r="A19" s="70">
        <f t="shared" si="3"/>
        <v>1.5</v>
      </c>
      <c r="B19" s="85">
        <v>200</v>
      </c>
      <c r="C19" s="85">
        <v>0</v>
      </c>
      <c r="D19" s="70">
        <f t="shared" si="4"/>
        <v>7.702617248014612</v>
      </c>
      <c r="E19" s="70">
        <f t="shared" si="5"/>
        <v>5.3883301737982645</v>
      </c>
      <c r="F19" s="70">
        <f t="shared" si="0"/>
        <v>19.397988625673754</v>
      </c>
      <c r="G19" s="70">
        <f t="shared" si="1"/>
        <v>83.59876691059698</v>
      </c>
      <c r="H19" s="70">
        <f t="shared" si="2"/>
        <v>0.11369720286827613</v>
      </c>
    </row>
    <row r="20" spans="1:10" ht="12.75">
      <c r="A20" s="70">
        <f t="shared" si="3"/>
        <v>2</v>
      </c>
      <c r="B20" s="85">
        <v>200</v>
      </c>
      <c r="C20" s="85">
        <v>0</v>
      </c>
      <c r="D20" s="70">
        <f t="shared" si="4"/>
        <v>10.396782334913745</v>
      </c>
      <c r="E20" s="70">
        <f t="shared" si="5"/>
        <v>5.502027376666541</v>
      </c>
      <c r="F20" s="70">
        <f t="shared" si="0"/>
        <v>19.807298555999548</v>
      </c>
      <c r="G20" s="70">
        <f t="shared" si="1"/>
        <v>88.2992504784294</v>
      </c>
      <c r="H20" s="70">
        <f t="shared" si="2"/>
        <v>0.10685128252645323</v>
      </c>
      <c r="J20" s="65" t="s">
        <v>121</v>
      </c>
    </row>
    <row r="21" spans="1:10" ht="12.75">
      <c r="A21" s="70">
        <f t="shared" si="3"/>
        <v>2.5</v>
      </c>
      <c r="B21" s="85">
        <v>200</v>
      </c>
      <c r="C21" s="85">
        <v>0</v>
      </c>
      <c r="D21" s="70">
        <f t="shared" si="4"/>
        <v>13.147796023247015</v>
      </c>
      <c r="E21" s="70">
        <f t="shared" si="5"/>
        <v>5.608878659192994</v>
      </c>
      <c r="F21" s="70">
        <f t="shared" si="0"/>
        <v>20.19196317309478</v>
      </c>
      <c r="G21" s="70">
        <f t="shared" si="1"/>
        <v>92.88430470008504</v>
      </c>
      <c r="H21" s="70">
        <f t="shared" si="2"/>
        <v>0.1005132846730345</v>
      </c>
      <c r="J21" s="65" t="s">
        <v>122</v>
      </c>
    </row>
    <row r="22" spans="1:10" ht="12.75">
      <c r="A22" s="70">
        <f t="shared" si="3"/>
        <v>3</v>
      </c>
      <c r="B22" s="85">
        <v>200</v>
      </c>
      <c r="C22" s="85">
        <v>0</v>
      </c>
      <c r="D22" s="70">
        <f t="shared" si="4"/>
        <v>15.952235352843513</v>
      </c>
      <c r="E22" s="70">
        <f t="shared" si="5"/>
        <v>5.709391943866029</v>
      </c>
      <c r="F22" s="70">
        <f t="shared" si="0"/>
        <v>20.553810997917704</v>
      </c>
      <c r="G22" s="70">
        <f t="shared" si="1"/>
        <v>97.3485061478257</v>
      </c>
      <c r="H22" s="70">
        <f t="shared" si="2"/>
        <v>0.09462846929874026</v>
      </c>
      <c r="J22" s="65" t="s">
        <v>123</v>
      </c>
    </row>
    <row r="23" spans="1:10" ht="12.75">
      <c r="A23" s="70">
        <f t="shared" si="3"/>
        <v>3.5</v>
      </c>
      <c r="B23" s="85">
        <v>200</v>
      </c>
      <c r="C23" s="85">
        <v>0</v>
      </c>
      <c r="D23" s="70">
        <f t="shared" si="4"/>
        <v>18.806931324776528</v>
      </c>
      <c r="E23" s="70">
        <f t="shared" si="5"/>
        <v>5.8040204131647695</v>
      </c>
      <c r="F23" s="70">
        <f t="shared" si="0"/>
        <v>20.89447348739317</v>
      </c>
      <c r="G23" s="70">
        <f t="shared" si="1"/>
        <v>101.68762433148787</v>
      </c>
      <c r="H23" s="70">
        <f t="shared" si="2"/>
        <v>0.08915088495836662</v>
      </c>
      <c r="J23" s="65" t="s">
        <v>124</v>
      </c>
    </row>
    <row r="24" spans="1:8" ht="12.75">
      <c r="A24" s="70">
        <f t="shared" si="3"/>
        <v>4</v>
      </c>
      <c r="B24" s="85">
        <v>200</v>
      </c>
      <c r="C24" s="85">
        <v>0</v>
      </c>
      <c r="D24" s="70">
        <f t="shared" si="4"/>
        <v>21.708941531358914</v>
      </c>
      <c r="E24" s="70">
        <f t="shared" si="5"/>
        <v>5.893171298123136</v>
      </c>
      <c r="F24" s="70">
        <f t="shared" si="0"/>
        <v>21.21541667324329</v>
      </c>
      <c r="G24" s="70">
        <f t="shared" si="1"/>
        <v>105.89849991319633</v>
      </c>
      <c r="H24" s="70">
        <f t="shared" si="2"/>
        <v>0.08404151653392035</v>
      </c>
    </row>
    <row r="25" spans="1:11" ht="12.75">
      <c r="A25" s="70">
        <f t="shared" si="3"/>
        <v>4.5</v>
      </c>
      <c r="B25" s="85">
        <v>200</v>
      </c>
      <c r="C25" s="85">
        <v>0</v>
      </c>
      <c r="D25" s="70">
        <f t="shared" si="4"/>
        <v>24.65552718042048</v>
      </c>
      <c r="E25" s="70">
        <f t="shared" si="5"/>
        <v>5.977212814657056</v>
      </c>
      <c r="F25" s="70">
        <f t="shared" si="0"/>
        <v>21.5179661327654</v>
      </c>
      <c r="G25" s="70">
        <f t="shared" si="1"/>
        <v>109.9789314326291</v>
      </c>
      <c r="H25" s="70">
        <f t="shared" si="2"/>
        <v>0.07926689452334464</v>
      </c>
      <c r="J25" s="72" t="s">
        <v>125</v>
      </c>
      <c r="K25" s="74"/>
    </row>
    <row r="26" spans="1:11" ht="12.75">
      <c r="A26" s="70">
        <f t="shared" si="3"/>
        <v>5</v>
      </c>
      <c r="B26" s="85">
        <v>200</v>
      </c>
      <c r="C26" s="85">
        <v>0</v>
      </c>
      <c r="D26" s="70">
        <f t="shared" si="4"/>
        <v>27.64413358774901</v>
      </c>
      <c r="E26" s="70">
        <f t="shared" si="5"/>
        <v>6.056479709180401</v>
      </c>
      <c r="F26" s="70">
        <f t="shared" si="0"/>
        <v>21.803326953049446</v>
      </c>
      <c r="G26" s="70">
        <f t="shared" si="1"/>
        <v>113.92757030042938</v>
      </c>
      <c r="H26" s="70">
        <f t="shared" si="2"/>
        <v>0.07479803609443304</v>
      </c>
      <c r="J26" s="78" t="s">
        <v>126</v>
      </c>
      <c r="K26" s="80"/>
    </row>
    <row r="27" spans="1:8" ht="12.75">
      <c r="A27" s="70">
        <f t="shared" si="3"/>
        <v>5.5</v>
      </c>
      <c r="B27" s="85">
        <v>200</v>
      </c>
      <c r="C27" s="85">
        <v>0</v>
      </c>
      <c r="D27" s="70">
        <f t="shared" si="4"/>
        <v>30.67237344233921</v>
      </c>
      <c r="E27" s="70">
        <f t="shared" si="5"/>
        <v>6.131277745274834</v>
      </c>
      <c r="F27" s="70">
        <f t="shared" si="0"/>
        <v>22.0725998829894</v>
      </c>
      <c r="G27" s="70">
        <f t="shared" si="1"/>
        <v>117.74382376040182</v>
      </c>
      <c r="H27" s="70">
        <f t="shared" si="2"/>
        <v>0.07060962842532267</v>
      </c>
    </row>
    <row r="28" spans="1:8" ht="12.75">
      <c r="A28" s="70">
        <f t="shared" si="3"/>
        <v>6</v>
      </c>
      <c r="B28" s="85">
        <v>200</v>
      </c>
      <c r="C28" s="85">
        <v>0</v>
      </c>
      <c r="D28" s="70">
        <f t="shared" si="4"/>
        <v>33.73801231497663</v>
      </c>
      <c r="E28" s="70">
        <f t="shared" si="5"/>
        <v>6.201887373700156</v>
      </c>
      <c r="F28" s="70">
        <f t="shared" si="0"/>
        <v>22.326794545320563</v>
      </c>
      <c r="G28" s="70">
        <f t="shared" si="1"/>
        <v>121.42776548589346</v>
      </c>
      <c r="H28" s="70">
        <f t="shared" si="2"/>
        <v>0.06667939152582679</v>
      </c>
    </row>
    <row r="29" spans="1:8" ht="12.75">
      <c r="A29" s="70">
        <f t="shared" si="3"/>
        <v>6.5</v>
      </c>
      <c r="B29" s="85">
        <v>200</v>
      </c>
      <c r="C29" s="85">
        <v>0</v>
      </c>
      <c r="D29" s="70">
        <f t="shared" si="4"/>
        <v>36.83895600182671</v>
      </c>
      <c r="E29" s="70">
        <f t="shared" si="5"/>
        <v>6.268566765225983</v>
      </c>
      <c r="F29" s="70">
        <f t="shared" si="0"/>
        <v>22.56684035481354</v>
      </c>
      <c r="G29" s="70">
        <f t="shared" si="1"/>
        <v>124.98005345368853</v>
      </c>
      <c r="H29" s="70">
        <f t="shared" si="2"/>
        <v>0.06298757574351543</v>
      </c>
    </row>
    <row r="30" spans="1:8" ht="12.75">
      <c r="A30" s="70">
        <f t="shared" si="3"/>
        <v>7</v>
      </c>
      <c r="B30" s="85">
        <v>200</v>
      </c>
      <c r="C30" s="85">
        <v>0</v>
      </c>
      <c r="D30" s="70">
        <f t="shared" si="4"/>
        <v>39.9732393844397</v>
      </c>
      <c r="E30" s="70">
        <f t="shared" si="5"/>
        <v>6.3315543409694985</v>
      </c>
      <c r="F30" s="70">
        <f t="shared" si="0"/>
        <v>22.793595627490195</v>
      </c>
      <c r="G30" s="70">
        <f t="shared" si="1"/>
        <v>128.40185472533824</v>
      </c>
      <c r="H30" s="70">
        <f t="shared" si="2"/>
        <v>0.05951656153568606</v>
      </c>
    </row>
    <row r="31" spans="1:8" ht="12.75">
      <c r="A31" s="70">
        <f t="shared" si="3"/>
        <v>7.5</v>
      </c>
      <c r="B31" s="85">
        <v>200</v>
      </c>
      <c r="C31" s="85">
        <v>0</v>
      </c>
      <c r="D31" s="70">
        <f t="shared" si="4"/>
        <v>43.13901655492445</v>
      </c>
      <c r="E31" s="70">
        <f t="shared" si="5"/>
        <v>6.391070902505184</v>
      </c>
      <c r="F31" s="70">
        <f t="shared" si="0"/>
        <v>23.007855249018665</v>
      </c>
      <c r="G31" s="70">
        <f t="shared" si="1"/>
        <v>131.69477675865573</v>
      </c>
      <c r="H31" s="70">
        <f t="shared" si="2"/>
        <v>0.056250537732811814</v>
      </c>
    </row>
    <row r="32" spans="1:8" ht="12.75">
      <c r="A32" s="70">
        <f t="shared" si="3"/>
        <v>8</v>
      </c>
      <c r="B32" s="85">
        <v>200</v>
      </c>
      <c r="C32" s="85">
        <v>0</v>
      </c>
      <c r="D32" s="70">
        <f t="shared" si="4"/>
        <v>46.33455200617705</v>
      </c>
      <c r="E32" s="70">
        <f t="shared" si="5"/>
        <v>6.447321440237996</v>
      </c>
      <c r="F32" s="70">
        <f t="shared" si="0"/>
        <v>23.210357184856786</v>
      </c>
      <c r="G32" s="70">
        <f t="shared" si="1"/>
        <v>134.86080486972722</v>
      </c>
      <c r="H32" s="70">
        <f t="shared" si="2"/>
        <v>0.05317524064598885</v>
      </c>
    </row>
    <row r="33" spans="1:8" ht="12.75">
      <c r="A33" s="70">
        <f t="shared" si="3"/>
        <v>8.5</v>
      </c>
      <c r="B33" s="85">
        <v>200</v>
      </c>
      <c r="C33" s="85">
        <v>0</v>
      </c>
      <c r="D33" s="70">
        <f t="shared" si="4"/>
        <v>49.55821272629605</v>
      </c>
      <c r="E33" s="70">
        <f t="shared" si="5"/>
        <v>6.500496680883985</v>
      </c>
      <c r="F33" s="70">
        <f t="shared" si="0"/>
        <v>23.401788051182347</v>
      </c>
      <c r="G33" s="70">
        <f t="shared" si="1"/>
        <v>137.90224546732532</v>
      </c>
      <c r="H33" s="70">
        <f t="shared" si="2"/>
        <v>0.05027774077251471</v>
      </c>
    </row>
    <row r="34" spans="1:8" ht="12.75">
      <c r="A34" s="70">
        <f t="shared" si="3"/>
        <v>9</v>
      </c>
      <c r="B34" s="85">
        <v>200</v>
      </c>
      <c r="C34" s="85">
        <v>0</v>
      </c>
      <c r="D34" s="70">
        <f t="shared" si="4"/>
        <v>52.80846106673804</v>
      </c>
      <c r="E34" s="70">
        <f t="shared" si="5"/>
        <v>6.5507744216565</v>
      </c>
      <c r="F34" s="70">
        <f t="shared" si="0"/>
        <v>23.582787917963397</v>
      </c>
      <c r="G34" s="70">
        <f t="shared" si="1"/>
        <v>140.82167468641762</v>
      </c>
      <c r="H34" s="70">
        <f t="shared" si="2"/>
        <v>0.04754626705535768</v>
      </c>
    </row>
    <row r="35" spans="1:8" ht="12.75">
      <c r="A35" s="70">
        <f t="shared" si="3"/>
        <v>9.5</v>
      </c>
      <c r="B35" s="85">
        <v>200</v>
      </c>
      <c r="C35" s="85">
        <v>0</v>
      </c>
      <c r="D35" s="70">
        <f t="shared" si="4"/>
        <v>56.08384827756629</v>
      </c>
      <c r="E35" s="70">
        <f t="shared" si="5"/>
        <v>6.5983206887118575</v>
      </c>
      <c r="F35" s="70">
        <f t="shared" si="0"/>
        <v>23.753954479362687</v>
      </c>
      <c r="G35" s="70">
        <f t="shared" si="1"/>
        <v>143.62189205502904</v>
      </c>
      <c r="H35" s="70">
        <f t="shared" si="2"/>
        <v>0.04497006100787558</v>
      </c>
    </row>
    <row r="36" spans="1:8" ht="12.75">
      <c r="A36" s="70">
        <f t="shared" si="3"/>
        <v>10</v>
      </c>
      <c r="B36" s="85">
        <v>200</v>
      </c>
      <c r="C36" s="85">
        <v>0</v>
      </c>
      <c r="D36" s="70">
        <f t="shared" si="4"/>
        <v>59.383008621922215</v>
      </c>
      <c r="E36" s="70">
        <f t="shared" si="5"/>
        <v>6.643290749719733</v>
      </c>
      <c r="F36" s="70">
        <f t="shared" si="0"/>
        <v>23.91584669899104</v>
      </c>
      <c r="G36" s="70">
        <f t="shared" si="1"/>
        <v>146.305878838587</v>
      </c>
      <c r="H36" s="70">
        <f t="shared" si="2"/>
        <v>0.04253925476670876</v>
      </c>
    </row>
    <row r="37" spans="1:8" ht="12.75">
      <c r="A37" s="70">
        <f t="shared" si="3"/>
        <v>10.5</v>
      </c>
      <c r="B37" s="85">
        <v>200</v>
      </c>
      <c r="C37" s="85">
        <v>0</v>
      </c>
      <c r="D37" s="70">
        <f t="shared" si="4"/>
        <v>62.704653996782085</v>
      </c>
      <c r="E37" s="70">
        <f t="shared" si="5"/>
        <v>6.685830004486442</v>
      </c>
      <c r="F37" s="70">
        <f t="shared" si="0"/>
        <v>24.06898801615119</v>
      </c>
      <c r="G37" s="70">
        <f t="shared" si="1"/>
        <v>148.8767607176483</v>
      </c>
      <c r="H37" s="70">
        <f t="shared" si="2"/>
        <v>0.04024476845101868</v>
      </c>
    </row>
    <row r="38" spans="1:8" ht="12.75">
      <c r="A38" s="70">
        <f t="shared" si="3"/>
        <v>11</v>
      </c>
      <c r="B38" s="85">
        <v>200</v>
      </c>
      <c r="C38" s="85">
        <v>0</v>
      </c>
      <c r="D38" s="70">
        <f t="shared" si="4"/>
        <v>66.0475689990253</v>
      </c>
      <c r="E38" s="70">
        <f t="shared" si="5"/>
        <v>6.72607477293746</v>
      </c>
      <c r="F38" s="70">
        <f t="shared" si="0"/>
        <v>24.213869182574857</v>
      </c>
      <c r="G38" s="70">
        <f t="shared" si="1"/>
        <v>151.3377744681935</v>
      </c>
      <c r="H38" s="70">
        <f t="shared" si="2"/>
        <v>0.03807822320288285</v>
      </c>
    </row>
    <row r="39" spans="1:8" ht="12.75">
      <c r="A39" s="70">
        <f t="shared" si="3"/>
        <v>11.5</v>
      </c>
      <c r="B39" s="85">
        <v>200</v>
      </c>
      <c r="C39" s="85">
        <v>0</v>
      </c>
      <c r="D39" s="70">
        <f t="shared" si="4"/>
        <v>69.41060638549403</v>
      </c>
      <c r="E39" s="70">
        <f t="shared" si="5"/>
        <v>6.764152996140343</v>
      </c>
      <c r="F39" s="70">
        <f t="shared" si="0"/>
        <v>24.350950786105233</v>
      </c>
      <c r="G39" s="70">
        <f t="shared" si="1"/>
        <v>153.69223832813492</v>
      </c>
      <c r="H39" s="70">
        <f t="shared" si="2"/>
        <v>0.03603186704528113</v>
      </c>
    </row>
    <row r="40" spans="1:8" ht="12.75">
      <c r="A40" s="70">
        <f t="shared" si="3"/>
        <v>12</v>
      </c>
      <c r="B40" s="85">
        <v>200</v>
      </c>
      <c r="C40" s="85">
        <v>0</v>
      </c>
      <c r="D40" s="70">
        <f t="shared" si="4"/>
        <v>72.79268288356421</v>
      </c>
      <c r="E40" s="70">
        <f t="shared" si="5"/>
        <v>6.800184863185624</v>
      </c>
      <c r="F40" s="70">
        <f t="shared" si="0"/>
        <v>24.48066550746825</v>
      </c>
      <c r="G40" s="70">
        <f t="shared" si="1"/>
        <v>155.9435257489943</v>
      </c>
      <c r="H40" s="70">
        <f t="shared" si="2"/>
        <v>0.03409851128073981</v>
      </c>
    </row>
    <row r="41" spans="1:8" ht="12.75">
      <c r="A41" s="70">
        <f t="shared" si="3"/>
        <v>12.5</v>
      </c>
      <c r="B41" s="85">
        <v>200</v>
      </c>
      <c r="C41" s="85">
        <v>0</v>
      </c>
      <c r="D41" s="70">
        <f t="shared" si="4"/>
        <v>76.19277531515702</v>
      </c>
      <c r="E41" s="70">
        <f t="shared" si="5"/>
        <v>6.834283374466364</v>
      </c>
      <c r="F41" s="70">
        <f t="shared" si="0"/>
        <v>24.60342014807891</v>
      </c>
      <c r="G41" s="70">
        <f t="shared" si="1"/>
        <v>158.09504224758277</v>
      </c>
      <c r="H41" s="70">
        <f t="shared" si="2"/>
        <v>0.032271475608877546</v>
      </c>
    </row>
    <row r="42" spans="1:8" ht="12.75">
      <c r="A42" s="70">
        <f t="shared" si="3"/>
        <v>13</v>
      </c>
      <c r="B42" s="85">
        <v>200</v>
      </c>
      <c r="C42" s="85">
        <v>0</v>
      </c>
      <c r="D42" s="70">
        <f t="shared" si="4"/>
        <v>79.6099170023902</v>
      </c>
      <c r="E42" s="70">
        <f t="shared" si="5"/>
        <v>6.866554850075241</v>
      </c>
      <c r="F42" s="70">
        <f t="shared" si="0"/>
        <v>24.71959746027087</v>
      </c>
      <c r="G42" s="70">
        <f t="shared" si="1"/>
        <v>160.15020508870526</v>
      </c>
      <c r="H42" s="70">
        <f t="shared" si="2"/>
        <v>0.030544540496713096</v>
      </c>
    </row>
    <row r="43" spans="1:8" ht="12.75">
      <c r="A43" s="70">
        <f t="shared" si="3"/>
        <v>13.5</v>
      </c>
      <c r="B43" s="85">
        <v>200</v>
      </c>
      <c r="C43" s="85">
        <v>0</v>
      </c>
      <c r="D43" s="70">
        <f t="shared" si="4"/>
        <v>83.04319442742782</v>
      </c>
      <c r="E43" s="70">
        <f t="shared" si="5"/>
        <v>6.897099390571954</v>
      </c>
      <c r="F43" s="70">
        <f t="shared" si="0"/>
        <v>24.829557806059036</v>
      </c>
      <c r="G43" s="70">
        <f t="shared" si="1"/>
        <v>162.11242554618994</v>
      </c>
      <c r="H43" s="70">
        <f t="shared" si="2"/>
        <v>0.028911905615218926</v>
      </c>
    </row>
    <row r="44" spans="1:8" ht="12.75">
      <c r="A44" s="70">
        <f t="shared" si="3"/>
        <v>14</v>
      </c>
      <c r="B44" s="85">
        <v>200</v>
      </c>
      <c r="C44" s="85">
        <v>0</v>
      </c>
      <c r="D44" s="70">
        <f t="shared" si="4"/>
        <v>86.4917441227138</v>
      </c>
      <c r="E44" s="70">
        <f t="shared" si="5"/>
        <v>6.926011296187173</v>
      </c>
      <c r="F44" s="70">
        <f t="shared" si="0"/>
        <v>24.933640666273824</v>
      </c>
      <c r="G44" s="70">
        <f t="shared" si="1"/>
        <v>163.98509350572138</v>
      </c>
      <c r="H44" s="70">
        <f t="shared" si="2"/>
        <v>0.02736815337681036</v>
      </c>
    </row>
    <row r="45" spans="1:8" ht="12.75">
      <c r="A45" s="70">
        <f t="shared" si="3"/>
        <v>14.5</v>
      </c>
      <c r="B45" s="85">
        <v>200</v>
      </c>
      <c r="C45" s="85">
        <v>0</v>
      </c>
      <c r="D45" s="70">
        <f t="shared" si="4"/>
        <v>89.95474977080738</v>
      </c>
      <c r="E45" s="70">
        <f t="shared" si="5"/>
        <v>6.953379449563983</v>
      </c>
      <c r="F45" s="70">
        <f t="shared" si="0"/>
        <v>25.032166018430342</v>
      </c>
      <c r="G45" s="70">
        <f t="shared" si="1"/>
        <v>165.7715641888784</v>
      </c>
      <c r="H45" s="70">
        <f t="shared" si="2"/>
        <v>0.02590821678444348</v>
      </c>
    </row>
    <row r="46" spans="1:8" ht="12.75">
      <c r="A46" s="70">
        <f t="shared" si="3"/>
        <v>15</v>
      </c>
      <c r="B46" s="85">
        <v>200</v>
      </c>
      <c r="C46" s="85">
        <v>0</v>
      </c>
      <c r="D46" s="70">
        <f t="shared" si="4"/>
        <v>93.43143949558937</v>
      </c>
      <c r="E46" s="70">
        <f t="shared" si="5"/>
        <v>6.9792876663484265</v>
      </c>
      <c r="F46" s="70">
        <f t="shared" si="0"/>
        <v>25.125435598854335</v>
      </c>
      <c r="G46" s="70">
        <f t="shared" si="1"/>
        <v>167.47514679330592</v>
      </c>
      <c r="H46" s="70">
        <f t="shared" si="2"/>
        <v>0.02452735094375788</v>
      </c>
    </row>
    <row r="47" spans="1:8" ht="12.75">
      <c r="A47" s="70">
        <f t="shared" si="3"/>
        <v>15.5</v>
      </c>
      <c r="B47" s="85">
        <v>200</v>
      </c>
      <c r="C47" s="85">
        <v>0</v>
      </c>
      <c r="D47" s="70">
        <f t="shared" si="4"/>
        <v>96.92108332876359</v>
      </c>
      <c r="E47" s="70">
        <f t="shared" si="5"/>
        <v>7.003815017292184</v>
      </c>
      <c r="F47" s="70">
        <f t="shared" si="0"/>
        <v>25.213734062251863</v>
      </c>
      <c r="G47" s="70">
        <f t="shared" si="1"/>
        <v>169.09909485898604</v>
      </c>
      <c r="H47" s="70">
        <f t="shared" si="2"/>
        <v>0.023221107702858835</v>
      </c>
    </row>
    <row r="48" spans="1:8" ht="12.75">
      <c r="A48" s="70">
        <f t="shared" si="3"/>
        <v>16</v>
      </c>
      <c r="B48" s="85">
        <v>200</v>
      </c>
      <c r="C48" s="85">
        <v>0</v>
      </c>
      <c r="D48" s="70">
        <f t="shared" si="4"/>
        <v>100.42299083740969</v>
      </c>
      <c r="E48" s="70">
        <f t="shared" si="5"/>
        <v>7.027036124995043</v>
      </c>
      <c r="F48" s="70">
        <f aca="true" t="shared" si="6" ref="F48:F76">E48*3.6</f>
        <v>25.297330049982154</v>
      </c>
      <c r="G48" s="70">
        <f aca="true" t="shared" si="7" ref="G48:G65">E48*($B$6+$F$8*(E48+$F$9*COS($F$10))*(SQRT($F$9*$F$9+2*$F$9*E48*COS($F$10)+E48*E48)+$F$9*ABS(SIN($F$10))/3)+$B$8*$F$7*SIN(ATAN(C48/100)))</f>
        <v>170.64659818502946</v>
      </c>
      <c r="H48" s="70">
        <f aca="true" t="shared" si="8" ref="H48:H76">$B$12*(B48-G48)/E48/$F$7</f>
        <v>0.021985312975739673</v>
      </c>
    </row>
    <row r="49" spans="1:8" ht="12.75">
      <c r="A49" s="70">
        <f aca="true" t="shared" si="9" ref="A49:A65">A48+$B$12</f>
        <v>16.5</v>
      </c>
      <c r="B49" s="85">
        <v>200</v>
      </c>
      <c r="C49" s="85">
        <v>0</v>
      </c>
      <c r="D49" s="70">
        <f aca="true" t="shared" si="10" ref="D49:D65">D48+E48*$B$12</f>
        <v>103.93650889990721</v>
      </c>
      <c r="E49" s="70">
        <f aca="true" t="shared" si="11" ref="E49:E65">E48+H48</f>
        <v>7.049021437970782</v>
      </c>
      <c r="F49" s="70">
        <f t="shared" si="6"/>
        <v>25.376477176694817</v>
      </c>
      <c r="G49" s="70">
        <f t="shared" si="7"/>
        <v>172.1207761352291</v>
      </c>
      <c r="H49" s="70">
        <f t="shared" si="8"/>
        <v>0.02081604637951633</v>
      </c>
    </row>
    <row r="50" spans="1:8" ht="12.75">
      <c r="A50" s="70">
        <f t="shared" si="9"/>
        <v>17</v>
      </c>
      <c r="B50" s="85">
        <v>200</v>
      </c>
      <c r="C50" s="85">
        <v>0</v>
      </c>
      <c r="D50" s="70">
        <f t="shared" si="10"/>
        <v>107.4610196188926</v>
      </c>
      <c r="E50" s="70">
        <f t="shared" si="11"/>
        <v>7.069837484350298</v>
      </c>
      <c r="F50" s="70">
        <f t="shared" si="6"/>
        <v>25.451414943661074</v>
      </c>
      <c r="G50" s="70">
        <f t="shared" si="7"/>
        <v>173.52467218375236</v>
      </c>
      <c r="H50" s="70">
        <f t="shared" si="8"/>
        <v>0.019709622876095727</v>
      </c>
    </row>
    <row r="51" spans="1:8" ht="12.75">
      <c r="A51" s="70">
        <f t="shared" si="9"/>
        <v>17.5</v>
      </c>
      <c r="B51" s="85">
        <v>200</v>
      </c>
      <c r="C51" s="85">
        <v>0</v>
      </c>
      <c r="D51" s="70">
        <f t="shared" si="10"/>
        <v>110.99593836106776</v>
      </c>
      <c r="E51" s="70">
        <f t="shared" si="11"/>
        <v>7.089547107226394</v>
      </c>
      <c r="F51" s="70">
        <f t="shared" si="6"/>
        <v>25.522369586015017</v>
      </c>
      <c r="G51" s="70">
        <f t="shared" si="7"/>
        <v>174.8612495647782</v>
      </c>
      <c r="H51" s="70">
        <f t="shared" si="8"/>
        <v>0.018662576158368947</v>
      </c>
    </row>
    <row r="52" spans="1:8" ht="12.75">
      <c r="A52" s="70">
        <f t="shared" si="9"/>
        <v>18</v>
      </c>
      <c r="B52" s="85">
        <v>200</v>
      </c>
      <c r="C52" s="85">
        <v>0</v>
      </c>
      <c r="D52" s="70">
        <f t="shared" si="10"/>
        <v>114.54071191468095</v>
      </c>
      <c r="E52" s="70">
        <f t="shared" si="11"/>
        <v>7.108209683384763</v>
      </c>
      <c r="F52" s="70">
        <f t="shared" si="6"/>
        <v>25.589554860185146</v>
      </c>
      <c r="G52" s="70">
        <f t="shared" si="7"/>
        <v>176.1333879015897</v>
      </c>
      <c r="H52" s="70">
        <f t="shared" si="8"/>
        <v>0.017671643561667644</v>
      </c>
    </row>
    <row r="53" spans="1:8" ht="12.75">
      <c r="A53" s="70">
        <f t="shared" si="9"/>
        <v>18.5</v>
      </c>
      <c r="B53" s="85">
        <v>200</v>
      </c>
      <c r="C53" s="85">
        <v>0</v>
      </c>
      <c r="D53" s="70">
        <f t="shared" si="10"/>
        <v>118.09481675637333</v>
      </c>
      <c r="E53" s="70">
        <f t="shared" si="11"/>
        <v>7.1258813269464305</v>
      </c>
      <c r="F53" s="70">
        <f t="shared" si="6"/>
        <v>25.65317277700715</v>
      </c>
      <c r="G53" s="70">
        <f t="shared" si="7"/>
        <v>177.34388070161148</v>
      </c>
      <c r="H53" s="70">
        <f t="shared" si="8"/>
        <v>0.016733752314748544</v>
      </c>
    </row>
    <row r="54" spans="1:8" ht="12.75">
      <c r="A54" s="70">
        <f t="shared" si="9"/>
        <v>19</v>
      </c>
      <c r="B54" s="85">
        <v>200</v>
      </c>
      <c r="C54" s="85">
        <v>0</v>
      </c>
      <c r="D54" s="70">
        <f t="shared" si="10"/>
        <v>121.65775741984655</v>
      </c>
      <c r="E54" s="70">
        <f t="shared" si="11"/>
        <v>7.142615079261179</v>
      </c>
      <c r="F54" s="70">
        <f t="shared" si="6"/>
        <v>25.713414285340246</v>
      </c>
      <c r="G54" s="70">
        <f t="shared" si="7"/>
        <v>178.4954336141417</v>
      </c>
      <c r="H54" s="70">
        <f t="shared" si="8"/>
        <v>0.01584600697232729</v>
      </c>
    </row>
    <row r="55" spans="1:8" ht="12.75">
      <c r="A55" s="70">
        <f t="shared" si="9"/>
        <v>19.5</v>
      </c>
      <c r="B55" s="85">
        <v>200</v>
      </c>
      <c r="C55" s="85">
        <v>0</v>
      </c>
      <c r="D55" s="70">
        <f t="shared" si="10"/>
        <v>125.22906495947714</v>
      </c>
      <c r="E55" s="70">
        <f t="shared" si="11"/>
        <v>7.1584610862335065</v>
      </c>
      <c r="F55" s="70">
        <f t="shared" si="6"/>
        <v>25.770459910440625</v>
      </c>
      <c r="G55" s="70">
        <f t="shared" si="7"/>
        <v>179.5906633570829</v>
      </c>
      <c r="H55" s="70">
        <f t="shared" si="8"/>
        <v>0.01500567789424555</v>
      </c>
    </row>
    <row r="56" spans="1:8" ht="12.75">
      <c r="A56" s="70">
        <f t="shared" si="9"/>
        <v>20</v>
      </c>
      <c r="B56" s="85">
        <v>200</v>
      </c>
      <c r="C56" s="85">
        <v>0</v>
      </c>
      <c r="D56" s="70">
        <f t="shared" si="10"/>
        <v>128.8082955025939</v>
      </c>
      <c r="E56" s="70">
        <f t="shared" si="11"/>
        <v>7.173466764127752</v>
      </c>
      <c r="F56" s="70">
        <f t="shared" si="6"/>
        <v>25.824480350859908</v>
      </c>
      <c r="G56" s="70">
        <f t="shared" si="7"/>
        <v>180.63209722784302</v>
      </c>
      <c r="H56" s="70">
        <f t="shared" si="8"/>
        <v>0.014210190655587207</v>
      </c>
    </row>
    <row r="57" spans="1:8" ht="12.75">
      <c r="A57" s="70">
        <f t="shared" si="9"/>
        <v>20.5</v>
      </c>
      <c r="B57" s="85">
        <v>200</v>
      </c>
      <c r="C57" s="85">
        <v>0</v>
      </c>
      <c r="D57" s="70">
        <f t="shared" si="10"/>
        <v>132.39502888465776</v>
      </c>
      <c r="E57" s="70">
        <f t="shared" si="11"/>
        <v>7.187676954783339</v>
      </c>
      <c r="F57" s="70">
        <f t="shared" si="6"/>
        <v>25.87563703722002</v>
      </c>
      <c r="G57" s="70">
        <f t="shared" si="7"/>
        <v>181.6221731217887</v>
      </c>
      <c r="H57" s="70">
        <f t="shared" si="8"/>
        <v>0.013457116288148531</v>
      </c>
    </row>
    <row r="58" spans="1:8" ht="12.75">
      <c r="A58" s="70">
        <f t="shared" si="9"/>
        <v>21</v>
      </c>
      <c r="B58" s="85">
        <v>200</v>
      </c>
      <c r="C58" s="85">
        <v>0</v>
      </c>
      <c r="D58" s="70">
        <f t="shared" si="10"/>
        <v>135.98886736204943</v>
      </c>
      <c r="E58" s="70">
        <f t="shared" si="11"/>
        <v>7.201134071071488</v>
      </c>
      <c r="F58" s="70">
        <f t="shared" si="6"/>
        <v>25.924082655857358</v>
      </c>
      <c r="G58" s="70">
        <f t="shared" si="7"/>
        <v>182.56323998920286</v>
      </c>
      <c r="H58" s="70">
        <f t="shared" si="8"/>
        <v>0.012744162267180708</v>
      </c>
    </row>
    <row r="59" spans="1:8" ht="12.75">
      <c r="A59" s="70">
        <f t="shared" si="9"/>
        <v>21.5</v>
      </c>
      <c r="B59" s="85">
        <v>200</v>
      </c>
      <c r="C59" s="85">
        <v>0</v>
      </c>
      <c r="D59" s="70">
        <f t="shared" si="10"/>
        <v>139.58943439758517</v>
      </c>
      <c r="E59" s="70">
        <f t="shared" si="11"/>
        <v>7.213878233338669</v>
      </c>
      <c r="F59" s="70">
        <f t="shared" si="6"/>
        <v>25.969961640019207</v>
      </c>
      <c r="G59" s="70">
        <f t="shared" si="7"/>
        <v>183.4575586686748</v>
      </c>
      <c r="H59" s="70">
        <f t="shared" si="8"/>
        <v>0.012069164168701291</v>
      </c>
    </row>
    <row r="60" spans="1:8" ht="12.75">
      <c r="A60" s="70">
        <f t="shared" si="9"/>
        <v>22</v>
      </c>
      <c r="B60" s="85">
        <v>200</v>
      </c>
      <c r="C60" s="85">
        <v>0</v>
      </c>
      <c r="D60" s="70">
        <f t="shared" si="10"/>
        <v>143.1963735142545</v>
      </c>
      <c r="E60" s="70">
        <f t="shared" si="11"/>
        <v>7.22594739750737</v>
      </c>
      <c r="F60" s="70">
        <f t="shared" si="6"/>
        <v>26.01341063102653</v>
      </c>
      <c r="G60" s="70">
        <f t="shared" si="7"/>
        <v>184.30730304124725</v>
      </c>
      <c r="H60" s="70">
        <f t="shared" si="8"/>
        <v>0.011430077932294846</v>
      </c>
    </row>
    <row r="61" spans="1:8" ht="12.75">
      <c r="A61" s="70">
        <f t="shared" si="9"/>
        <v>22.5</v>
      </c>
      <c r="B61" s="85">
        <v>200</v>
      </c>
      <c r="C61" s="85">
        <v>0</v>
      </c>
      <c r="D61" s="70">
        <f t="shared" si="10"/>
        <v>146.80934721300818</v>
      </c>
      <c r="E61" s="70">
        <f t="shared" si="11"/>
        <v>7.237377475439665</v>
      </c>
      <c r="F61" s="70">
        <f t="shared" si="6"/>
        <v>26.054558911582795</v>
      </c>
      <c r="G61" s="70">
        <f t="shared" si="7"/>
        <v>185.11456145550937</v>
      </c>
      <c r="H61" s="70">
        <f t="shared" si="8"/>
        <v>0.010824972672479899</v>
      </c>
    </row>
    <row r="62" spans="1:8" ht="12.75">
      <c r="A62" s="70">
        <f t="shared" si="9"/>
        <v>23</v>
      </c>
      <c r="B62" s="85">
        <v>200</v>
      </c>
      <c r="C62" s="85">
        <v>0</v>
      </c>
      <c r="D62" s="70">
        <f t="shared" si="10"/>
        <v>150.428035950728</v>
      </c>
      <c r="E62" s="70">
        <f t="shared" si="11"/>
        <v>7.248202448112145</v>
      </c>
      <c r="F62" s="70">
        <f t="shared" si="6"/>
        <v>26.093528813203722</v>
      </c>
      <c r="G62" s="70">
        <f t="shared" si="7"/>
        <v>185.8813383791796</v>
      </c>
      <c r="H62" s="70">
        <f t="shared" si="8"/>
        <v>0.010252023988664018</v>
      </c>
    </row>
    <row r="63" spans="1:8" ht="12.75">
      <c r="A63" s="70">
        <f t="shared" si="9"/>
        <v>23.5</v>
      </c>
      <c r="B63" s="85">
        <v>200</v>
      </c>
      <c r="C63" s="85">
        <v>0</v>
      </c>
      <c r="D63" s="70">
        <f t="shared" si="10"/>
        <v>154.05213717478406</v>
      </c>
      <c r="E63" s="70">
        <f t="shared" si="11"/>
        <v>7.258454472100809</v>
      </c>
      <c r="F63" s="70">
        <f t="shared" si="6"/>
        <v>26.13043609956291</v>
      </c>
      <c r="G63" s="70">
        <f t="shared" si="7"/>
        <v>186.6095562376081</v>
      </c>
      <c r="H63" s="70">
        <f t="shared" si="8"/>
        <v>0.00970950772963446</v>
      </c>
    </row>
    <row r="64" spans="1:8" ht="12.75">
      <c r="A64" s="70">
        <f t="shared" si="9"/>
        <v>24</v>
      </c>
      <c r="B64" s="85">
        <v>200</v>
      </c>
      <c r="C64" s="85">
        <v>0</v>
      </c>
      <c r="D64" s="70">
        <f t="shared" si="10"/>
        <v>157.68136441083448</v>
      </c>
      <c r="E64" s="70">
        <f t="shared" si="11"/>
        <v>7.268163979830443</v>
      </c>
      <c r="F64" s="70">
        <f t="shared" si="6"/>
        <v>26.165390327389595</v>
      </c>
      <c r="G64" s="70">
        <f t="shared" si="7"/>
        <v>187.30105740407024</v>
      </c>
      <c r="H64" s="70">
        <f t="shared" si="8"/>
        <v>0.009195794173611493</v>
      </c>
    </row>
    <row r="65" spans="1:8" ht="12.75">
      <c r="A65" s="70">
        <f t="shared" si="9"/>
        <v>24.5</v>
      </c>
      <c r="B65" s="85">
        <v>200</v>
      </c>
      <c r="C65" s="85">
        <v>0</v>
      </c>
      <c r="D65" s="70">
        <f t="shared" si="10"/>
        <v>161.3154464007497</v>
      </c>
      <c r="E65" s="70">
        <f t="shared" si="11"/>
        <v>7.277359774004054</v>
      </c>
      <c r="F65" s="70">
        <f t="shared" si="6"/>
        <v>26.198495186414597</v>
      </c>
      <c r="G65" s="70">
        <f t="shared" si="7"/>
        <v>187.9576063107594</v>
      </c>
      <c r="H65" s="70">
        <f t="shared" si="8"/>
        <v>0.00870934258925379</v>
      </c>
    </row>
    <row r="66" spans="1:8" ht="12.75">
      <c r="A66" s="70">
        <f aca="true" t="shared" si="12" ref="A66:A76">A65+$B$12</f>
        <v>25</v>
      </c>
      <c r="B66" s="85">
        <v>200</v>
      </c>
      <c r="C66" s="85">
        <v>0</v>
      </c>
      <c r="D66" s="70">
        <f aca="true" t="shared" si="13" ref="D66:D76">D65+E65*$B$12</f>
        <v>164.9541262877517</v>
      </c>
      <c r="E66" s="70">
        <f aca="true" t="shared" si="14" ref="E66:E76">E65+H65</f>
        <v>7.286069116593308</v>
      </c>
      <c r="F66" s="70">
        <f t="shared" si="6"/>
        <v>26.22984881973591</v>
      </c>
      <c r="G66" s="70">
        <f aca="true" t="shared" si="15" ref="G66:G76">E66*($B$6+$F$8*(E66+$F$9*COS($F$10))*(SQRT($F$9*$F$9+2*$F$9*E66*COS($F$10)+E66*E66)+$F$9*ABS(SIN($F$10))/3)+$B$8*$F$7*SIN(ATAN(C66/100)))</f>
        <v>188.58089165304182</v>
      </c>
      <c r="H66" s="70">
        <f t="shared" si="8"/>
        <v>0.008248696146770715</v>
      </c>
    </row>
    <row r="67" spans="1:8" ht="12.75">
      <c r="A67" s="70">
        <f t="shared" si="12"/>
        <v>25.5</v>
      </c>
      <c r="B67" s="85">
        <v>200</v>
      </c>
      <c r="C67" s="85">
        <v>0</v>
      </c>
      <c r="D67" s="70">
        <f t="shared" si="13"/>
        <v>168.59716084604835</v>
      </c>
      <c r="E67" s="70">
        <f t="shared" si="14"/>
        <v>7.294317812740078</v>
      </c>
      <c r="F67" s="70">
        <f t="shared" si="6"/>
        <v>26.25954412586428</v>
      </c>
      <c r="G67" s="70">
        <f t="shared" si="15"/>
        <v>189.17252866284466</v>
      </c>
      <c r="H67" s="70">
        <f t="shared" si="8"/>
        <v>0.0078124771515513695</v>
      </c>
    </row>
    <row r="68" spans="1:8" ht="12.75">
      <c r="A68" s="70">
        <f t="shared" si="12"/>
        <v>26</v>
      </c>
      <c r="B68" s="85">
        <v>200</v>
      </c>
      <c r="C68" s="85">
        <v>0</v>
      </c>
      <c r="D68" s="70">
        <f t="shared" si="13"/>
        <v>172.2443197524184</v>
      </c>
      <c r="E68" s="70">
        <f t="shared" si="14"/>
        <v>7.30213028989163</v>
      </c>
      <c r="F68" s="70">
        <f t="shared" si="6"/>
        <v>26.287669043609867</v>
      </c>
      <c r="G68" s="70">
        <f t="shared" si="15"/>
        <v>189.7340614300305</v>
      </c>
      <c r="H68" s="70">
        <f t="shared" si="8"/>
        <v>0.007399382575549789</v>
      </c>
    </row>
    <row r="69" spans="1:8" ht="12.75">
      <c r="A69" s="70">
        <f t="shared" si="12"/>
        <v>26.5</v>
      </c>
      <c r="B69" s="85">
        <v>200</v>
      </c>
      <c r="C69" s="85">
        <v>0</v>
      </c>
      <c r="D69" s="70">
        <f t="shared" si="13"/>
        <v>175.8953848973642</v>
      </c>
      <c r="E69" s="70">
        <f t="shared" si="14"/>
        <v>7.309529672467179</v>
      </c>
      <c r="F69" s="70">
        <f t="shared" si="6"/>
        <v>26.314306820881846</v>
      </c>
      <c r="G69" s="70">
        <f t="shared" si="15"/>
        <v>190.26696525330246</v>
      </c>
      <c r="H69" s="70">
        <f t="shared" si="8"/>
        <v>0.007008179864127801</v>
      </c>
    </row>
    <row r="70" spans="1:8" ht="12.75">
      <c r="A70" s="70">
        <f t="shared" si="12"/>
        <v>27</v>
      </c>
      <c r="B70" s="85">
        <v>200</v>
      </c>
      <c r="C70" s="85">
        <v>0</v>
      </c>
      <c r="D70" s="70">
        <f t="shared" si="13"/>
        <v>179.5501497335978</v>
      </c>
      <c r="E70" s="70">
        <f t="shared" si="14"/>
        <v>7.316537852331307</v>
      </c>
      <c r="F70" s="70">
        <f t="shared" si="6"/>
        <v>26.339536268392706</v>
      </c>
      <c r="G70" s="70">
        <f t="shared" si="15"/>
        <v>190.77264900459946</v>
      </c>
      <c r="H70" s="70">
        <f t="shared" si="8"/>
        <v>0.006637702998211879</v>
      </c>
    </row>
    <row r="71" spans="1:8" ht="12.75">
      <c r="A71" s="70">
        <f t="shared" si="12"/>
        <v>27.5</v>
      </c>
      <c r="B71" s="85">
        <v>200</v>
      </c>
      <c r="C71" s="85">
        <v>0</v>
      </c>
      <c r="D71" s="70">
        <f t="shared" si="13"/>
        <v>183.20841865976345</v>
      </c>
      <c r="E71" s="70">
        <f t="shared" si="14"/>
        <v>7.323175555329519</v>
      </c>
      <c r="F71" s="70">
        <f t="shared" si="6"/>
        <v>26.36343199918627</v>
      </c>
      <c r="G71" s="70">
        <f t="shared" si="15"/>
        <v>191.25245749311082</v>
      </c>
      <c r="H71" s="70">
        <f t="shared" si="8"/>
        <v>0.006286848793509257</v>
      </c>
    </row>
    <row r="72" spans="1:8" ht="12.75">
      <c r="A72" s="70">
        <f t="shared" si="12"/>
        <v>28</v>
      </c>
      <c r="B72" s="85">
        <v>200</v>
      </c>
      <c r="C72" s="85">
        <v>0</v>
      </c>
      <c r="D72" s="70">
        <f t="shared" si="13"/>
        <v>186.8700064374282</v>
      </c>
      <c r="E72" s="70">
        <f t="shared" si="14"/>
        <v>7.329462404123029</v>
      </c>
      <c r="F72" s="70">
        <f t="shared" si="6"/>
        <v>26.386064654842905</v>
      </c>
      <c r="G72" s="70">
        <f t="shared" si="15"/>
        <v>191.70767381698187</v>
      </c>
      <c r="H72" s="70">
        <f t="shared" si="8"/>
        <v>0.005954573420191641</v>
      </c>
    </row>
    <row r="73" spans="1:8" ht="12.75">
      <c r="A73" s="70">
        <f t="shared" si="12"/>
        <v>28.5</v>
      </c>
      <c r="B73" s="85">
        <v>200</v>
      </c>
      <c r="C73" s="85">
        <v>0</v>
      </c>
      <c r="D73" s="70">
        <f t="shared" si="13"/>
        <v>190.53473763948972</v>
      </c>
      <c r="E73" s="70">
        <f t="shared" si="14"/>
        <v>7.33541697754322</v>
      </c>
      <c r="F73" s="70">
        <f t="shared" si="6"/>
        <v>26.407501119155594</v>
      </c>
      <c r="G73" s="70">
        <f t="shared" si="15"/>
        <v>192.13952169251777</v>
      </c>
      <c r="H73" s="70">
        <f t="shared" si="8"/>
        <v>0.005639889127923677</v>
      </c>
    </row>
    <row r="74" spans="1:8" ht="12.75">
      <c r="A74" s="70">
        <f t="shared" si="12"/>
        <v>29</v>
      </c>
      <c r="B74" s="85">
        <v>200</v>
      </c>
      <c r="C74" s="85">
        <v>0</v>
      </c>
      <c r="D74" s="70">
        <f t="shared" si="13"/>
        <v>194.20244612826133</v>
      </c>
      <c r="E74" s="70">
        <f t="shared" si="14"/>
        <v>7.341056866671144</v>
      </c>
      <c r="F74" s="70">
        <f t="shared" si="6"/>
        <v>26.42780472001612</v>
      </c>
      <c r="G74" s="70">
        <f t="shared" si="15"/>
        <v>192.5491677522412</v>
      </c>
      <c r="H74" s="70">
        <f t="shared" si="8"/>
        <v>0.005341861162415139</v>
      </c>
    </row>
    <row r="75" spans="1:8" ht="12.75">
      <c r="A75" s="70">
        <f t="shared" si="12"/>
        <v>29.5</v>
      </c>
      <c r="B75" s="85">
        <v>200</v>
      </c>
      <c r="C75" s="85">
        <v>0</v>
      </c>
      <c r="D75" s="70">
        <f t="shared" si="13"/>
        <v>197.8729745615969</v>
      </c>
      <c r="E75" s="70">
        <f t="shared" si="14"/>
        <v>7.3463987278335585</v>
      </c>
      <c r="F75" s="70">
        <f t="shared" si="6"/>
        <v>26.447035420200812</v>
      </c>
      <c r="G75" s="70">
        <f t="shared" si="15"/>
        <v>192.93772380453643</v>
      </c>
      <c r="H75" s="70">
        <f t="shared" si="8"/>
        <v>0.005059604860833286</v>
      </c>
    </row>
    <row r="76" spans="1:8" ht="12.75">
      <c r="A76" s="70">
        <f t="shared" si="12"/>
        <v>30</v>
      </c>
      <c r="B76" s="85">
        <v>200</v>
      </c>
      <c r="C76" s="85">
        <v>0</v>
      </c>
      <c r="D76" s="70">
        <f t="shared" si="13"/>
        <v>201.54617392551367</v>
      </c>
      <c r="E76" s="70">
        <f t="shared" si="14"/>
        <v>7.351458332694392</v>
      </c>
      <c r="F76" s="70">
        <f t="shared" si="6"/>
        <v>26.46524999769981</v>
      </c>
      <c r="G76" s="70">
        <f t="shared" si="15"/>
        <v>193.30624904883706</v>
      </c>
      <c r="H76" s="70">
        <f t="shared" si="8"/>
        <v>0.004792282914443614</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DB60"/>
  <sheetViews>
    <sheetView showGridLines="0" workbookViewId="0" topLeftCell="A1">
      <selection activeCell="B12" sqref="B12"/>
    </sheetView>
  </sheetViews>
  <sheetFormatPr defaultColWidth="9.75390625" defaultRowHeight="12.75"/>
  <cols>
    <col min="1" max="2" width="9.75390625" style="87" customWidth="1"/>
    <col min="3" max="3" width="11.50390625" style="87" customWidth="1"/>
    <col min="4" max="5" width="9.75390625" style="87" customWidth="1"/>
    <col min="6" max="6" width="7.875" style="87" customWidth="1"/>
    <col min="7" max="7" width="8.375" style="87" customWidth="1"/>
    <col min="8" max="8" width="8.25390625" style="87" customWidth="1"/>
    <col min="9" max="9" width="8.50390625" style="87" customWidth="1"/>
    <col min="10" max="10" width="8.00390625" style="87" customWidth="1"/>
    <col min="11" max="11" width="7.75390625" style="87" customWidth="1"/>
    <col min="12" max="13" width="9.75390625" style="87" customWidth="1"/>
    <col min="14" max="14" width="52.50390625" style="88" customWidth="1"/>
    <col min="15" max="16384" width="9.75390625" style="87" customWidth="1"/>
  </cols>
  <sheetData>
    <row r="1" ht="15.75">
      <c r="A1" s="86" t="s">
        <v>127</v>
      </c>
    </row>
    <row r="2" ht="15.75">
      <c r="A2" s="86"/>
    </row>
    <row r="3" s="89" customFormat="1" ht="6" customHeight="1">
      <c r="N3" s="90"/>
    </row>
    <row r="4" spans="1:5" ht="12.75">
      <c r="A4" s="91" t="s">
        <v>128</v>
      </c>
      <c r="D4" s="92"/>
      <c r="E4" s="91"/>
    </row>
    <row r="5" spans="1:7" ht="12.75">
      <c r="A5" s="91" t="s">
        <v>44</v>
      </c>
      <c r="B5" s="93">
        <f>[0]!wrijving</f>
        <v>3</v>
      </c>
      <c r="C5" s="91" t="s">
        <v>45</v>
      </c>
      <c r="D5" s="92"/>
      <c r="E5" s="93"/>
      <c r="F5" s="93"/>
      <c r="G5" s="91"/>
    </row>
    <row r="6" spans="1:11" ht="12.75">
      <c r="A6" s="91" t="s">
        <v>51</v>
      </c>
      <c r="E6" s="93">
        <f>[0]!gewicht</f>
        <v>95</v>
      </c>
      <c r="F6" s="91" t="s">
        <v>95</v>
      </c>
      <c r="G6" s="72" t="s">
        <v>96</v>
      </c>
      <c r="H6" s="73"/>
      <c r="I6" s="73"/>
      <c r="J6" s="73"/>
      <c r="K6" s="74"/>
    </row>
    <row r="7" spans="1:11" ht="12.75">
      <c r="A7" s="91" t="s">
        <v>97</v>
      </c>
      <c r="B7" s="93">
        <f>[0]!g</f>
        <v>9.81</v>
      </c>
      <c r="C7" s="91" t="s">
        <v>98</v>
      </c>
      <c r="D7" s="93" t="str">
        <f>"Cw:"</f>
        <v>Cw:</v>
      </c>
      <c r="E7" s="93">
        <f>[0]!cw</f>
        <v>0.4310371426958159</v>
      </c>
      <c r="F7" s="91" t="s">
        <v>57</v>
      </c>
      <c r="G7" s="75" t="s">
        <v>99</v>
      </c>
      <c r="H7" s="76"/>
      <c r="I7" s="76"/>
      <c r="J7" s="76"/>
      <c r="K7" s="77"/>
    </row>
    <row r="8" spans="1:11" ht="12.75">
      <c r="A8" s="91" t="s">
        <v>67</v>
      </c>
      <c r="B8" s="93">
        <f>[0]!bft</f>
        <v>0</v>
      </c>
      <c r="C8" s="91" t="s">
        <v>100</v>
      </c>
      <c r="D8" s="91" t="s">
        <v>67</v>
      </c>
      <c r="E8" s="93">
        <f>($B$8+0.0001)/ABS(($B$8+0.0001))*(ABS(($B$8+0.0001))^1.47)/1.1327</f>
        <v>1.163818079417682E-06</v>
      </c>
      <c r="F8" s="91" t="s">
        <v>50</v>
      </c>
      <c r="G8" s="75" t="s">
        <v>101</v>
      </c>
      <c r="H8" s="76"/>
      <c r="I8" s="76"/>
      <c r="J8" s="76"/>
      <c r="K8" s="77"/>
    </row>
    <row r="9" spans="1:11" ht="12.75">
      <c r="A9" s="91" t="s">
        <v>69</v>
      </c>
      <c r="B9" s="93">
        <f>[0]!windhoek</f>
        <v>0</v>
      </c>
      <c r="C9" s="93" t="str">
        <f>"Graden"</f>
        <v>Graden</v>
      </c>
      <c r="D9" s="93" t="str">
        <f>"Alfa:"</f>
        <v>Alfa:</v>
      </c>
      <c r="E9" s="93">
        <f>$B$9/180*PI()</f>
        <v>0</v>
      </c>
      <c r="F9" s="91" t="s">
        <v>71</v>
      </c>
      <c r="G9" s="78" t="s">
        <v>102</v>
      </c>
      <c r="H9" s="79"/>
      <c r="I9" s="79"/>
      <c r="J9" s="79"/>
      <c r="K9" s="80"/>
    </row>
    <row r="10" spans="1:106" s="89" customFormat="1" ht="6" customHeight="1">
      <c r="A10" s="94"/>
      <c r="B10" s="94"/>
      <c r="C10" s="94"/>
      <c r="D10" s="94"/>
      <c r="E10" s="94"/>
      <c r="F10" s="94"/>
      <c r="G10" s="94"/>
      <c r="H10" s="94"/>
      <c r="N10" s="90"/>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row>
    <row r="11" ht="12.75">
      <c r="F11" s="95"/>
    </row>
    <row r="12" spans="1:9" ht="12.75">
      <c r="A12" s="93" t="s">
        <v>103</v>
      </c>
      <c r="B12" s="96">
        <v>1</v>
      </c>
      <c r="C12" s="91" t="s">
        <v>129</v>
      </c>
      <c r="D12" s="91"/>
      <c r="E12" s="87" t="s">
        <v>130</v>
      </c>
      <c r="F12" s="96">
        <v>0</v>
      </c>
      <c r="G12" s="91" t="s">
        <v>56</v>
      </c>
      <c r="H12" s="91" t="s">
        <v>131</v>
      </c>
      <c r="I12" s="91"/>
    </row>
    <row r="13" spans="1:9" ht="12.75">
      <c r="A13" s="93"/>
      <c r="B13" s="93" t="s">
        <v>132</v>
      </c>
      <c r="C13" s="91"/>
      <c r="D13" s="91"/>
      <c r="F13" s="97"/>
      <c r="G13" s="91"/>
      <c r="H13" s="91"/>
      <c r="I13" s="91"/>
    </row>
    <row r="14" spans="2:14" ht="25.5">
      <c r="B14" s="98" t="s">
        <v>133</v>
      </c>
      <c r="C14" s="99" t="s">
        <v>134</v>
      </c>
      <c r="E14" s="99" t="s">
        <v>135</v>
      </c>
      <c r="G14" s="98" t="s">
        <v>136</v>
      </c>
      <c r="H14" s="100" t="s">
        <v>137</v>
      </c>
      <c r="I14" s="101"/>
      <c r="J14" s="102"/>
      <c r="N14" s="88" t="s">
        <v>138</v>
      </c>
    </row>
    <row r="15" spans="1:14" s="105" customFormat="1" ht="38.25">
      <c r="A15" s="103" t="s">
        <v>139</v>
      </c>
      <c r="B15" s="103" t="s">
        <v>140</v>
      </c>
      <c r="C15" s="104" t="s">
        <v>108</v>
      </c>
      <c r="D15" s="103" t="str">
        <f>"Tijd"</f>
        <v>Tijd</v>
      </c>
      <c r="E15" s="103" t="s">
        <v>110</v>
      </c>
      <c r="F15" s="103" t="s">
        <v>110</v>
      </c>
      <c r="G15" s="103" t="s">
        <v>141</v>
      </c>
      <c r="H15" s="103" t="s">
        <v>111</v>
      </c>
      <c r="I15" s="103" t="s">
        <v>112</v>
      </c>
      <c r="J15" s="103" t="s">
        <v>142</v>
      </c>
      <c r="K15" s="103" t="s">
        <v>142</v>
      </c>
      <c r="L15" s="103" t="s">
        <v>141</v>
      </c>
      <c r="N15" s="88" t="s">
        <v>143</v>
      </c>
    </row>
    <row r="16" spans="1:14" s="105" customFormat="1" ht="12.75">
      <c r="A16" s="103" t="s">
        <v>116</v>
      </c>
      <c r="B16" s="103" t="s">
        <v>114</v>
      </c>
      <c r="C16" s="104" t="s">
        <v>115</v>
      </c>
      <c r="D16" s="103" t="s">
        <v>144</v>
      </c>
      <c r="E16" s="103" t="s">
        <v>50</v>
      </c>
      <c r="F16" s="103" t="s">
        <v>117</v>
      </c>
      <c r="G16" s="103" t="s">
        <v>144</v>
      </c>
      <c r="H16" s="103" t="s">
        <v>114</v>
      </c>
      <c r="I16" s="103" t="s">
        <v>50</v>
      </c>
      <c r="J16" s="103" t="s">
        <v>145</v>
      </c>
      <c r="K16" s="103" t="s">
        <v>146</v>
      </c>
      <c r="L16" s="103" t="s">
        <v>146</v>
      </c>
      <c r="N16" s="88" t="s">
        <v>147</v>
      </c>
    </row>
    <row r="17" spans="1:14" ht="12.75">
      <c r="A17" s="93">
        <v>0</v>
      </c>
      <c r="B17" s="96">
        <v>100</v>
      </c>
      <c r="C17" s="97">
        <f aca="true" t="shared" si="0" ref="C17:C47">$F$12</f>
        <v>0</v>
      </c>
      <c r="D17" s="93">
        <v>0</v>
      </c>
      <c r="E17" s="96">
        <v>5.66</v>
      </c>
      <c r="F17" s="93">
        <f aca="true" t="shared" si="1" ref="F17:F47">E17*3.6</f>
        <v>20.376</v>
      </c>
      <c r="G17" s="106">
        <f aca="true" t="shared" si="2" ref="G17:G47">$B$12/E17</f>
        <v>0.17667844522968199</v>
      </c>
      <c r="H17" s="106">
        <f aca="true" t="shared" si="3" ref="H17:H47">E17*($B$5+$E$7*(E17+$E$8*COS($E$9))*(SQRT($E$8*$E$8+2*$E$8*E17*COS($E$9)+E17*E17)+$E$8*ABS(SIN($E$9))/3)+$B$7*$E$6*SIN(ATAN(C17/100)))</f>
        <v>95.13633168641596</v>
      </c>
      <c r="I17" s="106">
        <f aca="true" t="shared" si="4" ref="I17:I47">G17*(B17-H17)/E17/$E$6</f>
        <v>0.0015981129919228156</v>
      </c>
      <c r="J17" s="106">
        <f aca="true" t="shared" si="5" ref="J17:J47">B17*G17</f>
        <v>17.6678445229682</v>
      </c>
      <c r="K17" s="93">
        <f>J17</f>
        <v>17.6678445229682</v>
      </c>
      <c r="L17" s="106">
        <f>G17</f>
        <v>0.17667844522968199</v>
      </c>
      <c r="N17" s="88" t="s">
        <v>148</v>
      </c>
    </row>
    <row r="18" spans="1:12" ht="12.75">
      <c r="A18" s="93">
        <f aca="true" t="shared" si="6" ref="A18:A47">A17+$B$12</f>
        <v>1</v>
      </c>
      <c r="B18" s="93">
        <f aca="true" t="shared" si="7" ref="B18:B47">100+5*(20-F17)*(F17&lt;=40)-100*(F17&gt;40)</f>
        <v>98.11999999999999</v>
      </c>
      <c r="C18" s="97">
        <f t="shared" si="0"/>
        <v>0</v>
      </c>
      <c r="D18" s="93">
        <f aca="true" t="shared" si="8" ref="D18:D47">D17+G17</f>
        <v>0.17667844522968199</v>
      </c>
      <c r="E18" s="93">
        <f aca="true" t="shared" si="9" ref="E18:E47">E17+I17</f>
        <v>5.661598112991923</v>
      </c>
      <c r="F18" s="93">
        <f t="shared" si="1"/>
        <v>20.381753206770924</v>
      </c>
      <c r="G18" s="106">
        <f t="shared" si="2"/>
        <v>0.17662857377765037</v>
      </c>
      <c r="H18" s="106">
        <f t="shared" si="3"/>
        <v>95.20734752810435</v>
      </c>
      <c r="I18" s="106">
        <f t="shared" si="4"/>
        <v>0.0009565044352152197</v>
      </c>
      <c r="J18" s="106">
        <f t="shared" si="5"/>
        <v>17.330795659063053</v>
      </c>
      <c r="K18" s="93">
        <f aca="true" t="shared" si="10" ref="K18:K47">K17+J17</f>
        <v>35.3356890459364</v>
      </c>
      <c r="L18" s="106">
        <f aca="true" t="shared" si="11" ref="L18:L47">L17+G18</f>
        <v>0.35330701900733236</v>
      </c>
    </row>
    <row r="19" spans="1:12" ht="12.75">
      <c r="A19" s="93">
        <f t="shared" si="6"/>
        <v>2</v>
      </c>
      <c r="B19" s="93">
        <f t="shared" si="7"/>
        <v>98.09123396614538</v>
      </c>
      <c r="C19" s="97">
        <f t="shared" si="0"/>
        <v>0</v>
      </c>
      <c r="D19" s="93">
        <f t="shared" si="8"/>
        <v>0.35330701900733236</v>
      </c>
      <c r="E19" s="93">
        <f t="shared" si="9"/>
        <v>5.662554617427138</v>
      </c>
      <c r="F19" s="93">
        <f t="shared" si="1"/>
        <v>20.3851966227377</v>
      </c>
      <c r="G19" s="106">
        <f t="shared" si="2"/>
        <v>0.17659873812473073</v>
      </c>
      <c r="H19" s="106">
        <f t="shared" si="3"/>
        <v>95.24986990016032</v>
      </c>
      <c r="I19" s="106">
        <f t="shared" si="4"/>
        <v>0.0009327783780461142</v>
      </c>
      <c r="J19" s="106">
        <f t="shared" si="5"/>
        <v>17.322788139519</v>
      </c>
      <c r="K19" s="93">
        <f t="shared" si="10"/>
        <v>52.66648470499945</v>
      </c>
      <c r="L19" s="106">
        <f t="shared" si="11"/>
        <v>0.5299057571320631</v>
      </c>
    </row>
    <row r="20" spans="1:12" ht="12.75">
      <c r="A20" s="93">
        <f t="shared" si="6"/>
        <v>3</v>
      </c>
      <c r="B20" s="93">
        <f t="shared" si="7"/>
        <v>98.07401688631151</v>
      </c>
      <c r="C20" s="97">
        <f t="shared" si="0"/>
        <v>0</v>
      </c>
      <c r="D20" s="93">
        <f t="shared" si="8"/>
        <v>0.5299057571320631</v>
      </c>
      <c r="E20" s="93">
        <f t="shared" si="9"/>
        <v>5.663487395805184</v>
      </c>
      <c r="F20" s="93">
        <f t="shared" si="1"/>
        <v>20.388554624898664</v>
      </c>
      <c r="G20" s="106">
        <f t="shared" si="2"/>
        <v>0.17656965225007426</v>
      </c>
      <c r="H20" s="106">
        <f t="shared" si="3"/>
        <v>95.29135041031604</v>
      </c>
      <c r="I20" s="106">
        <f t="shared" si="4"/>
        <v>0.0009132079297593953</v>
      </c>
      <c r="J20" s="106">
        <f t="shared" si="5"/>
        <v>17.316895056383935</v>
      </c>
      <c r="K20" s="93">
        <f t="shared" si="10"/>
        <v>69.98927284451845</v>
      </c>
      <c r="L20" s="106">
        <f t="shared" si="11"/>
        <v>0.7064754093821374</v>
      </c>
    </row>
    <row r="21" spans="1:12" ht="12.75">
      <c r="A21" s="93">
        <f t="shared" si="6"/>
        <v>4</v>
      </c>
      <c r="B21" s="93">
        <f t="shared" si="7"/>
        <v>98.05722687550669</v>
      </c>
      <c r="C21" s="97">
        <f t="shared" si="0"/>
        <v>0</v>
      </c>
      <c r="D21" s="93">
        <f t="shared" si="8"/>
        <v>0.7064754093821374</v>
      </c>
      <c r="E21" s="93">
        <f t="shared" si="9"/>
        <v>5.6644006037349435</v>
      </c>
      <c r="F21" s="93">
        <f t="shared" si="1"/>
        <v>20.3918421734458</v>
      </c>
      <c r="G21" s="106">
        <f t="shared" si="2"/>
        <v>0.1765411859006986</v>
      </c>
      <c r="H21" s="106">
        <f t="shared" si="3"/>
        <v>95.33197297141771</v>
      </c>
      <c r="I21" s="106">
        <f t="shared" si="4"/>
        <v>0.0008940780736356883</v>
      </c>
      <c r="J21" s="106">
        <f t="shared" si="5"/>
        <v>17.311139118735802</v>
      </c>
      <c r="K21" s="93">
        <f t="shared" si="10"/>
        <v>87.30616790090238</v>
      </c>
      <c r="L21" s="106">
        <f t="shared" si="11"/>
        <v>0.8830165952828359</v>
      </c>
    </row>
    <row r="22" spans="1:12" ht="12.75">
      <c r="A22" s="93">
        <f t="shared" si="6"/>
        <v>5</v>
      </c>
      <c r="B22" s="93">
        <f t="shared" si="7"/>
        <v>98.04078913277101</v>
      </c>
      <c r="C22" s="97">
        <f t="shared" si="0"/>
        <v>0</v>
      </c>
      <c r="D22" s="93">
        <f t="shared" si="8"/>
        <v>0.8830165952828359</v>
      </c>
      <c r="E22" s="93">
        <f t="shared" si="9"/>
        <v>5.665294681808579</v>
      </c>
      <c r="F22" s="93">
        <f t="shared" si="1"/>
        <v>20.395060854510884</v>
      </c>
      <c r="G22" s="106">
        <f t="shared" si="2"/>
        <v>0.17651332475449658</v>
      </c>
      <c r="H22" s="106">
        <f t="shared" si="3"/>
        <v>95.37175640780045</v>
      </c>
      <c r="I22" s="106">
        <f t="shared" si="4"/>
        <v>0.0008753571509999706</v>
      </c>
      <c r="J22" s="106">
        <f t="shared" si="5"/>
        <v>17.305505651379928</v>
      </c>
      <c r="K22" s="93">
        <f t="shared" si="10"/>
        <v>104.61730701963819</v>
      </c>
      <c r="L22" s="106">
        <f t="shared" si="11"/>
        <v>1.0595299200373325</v>
      </c>
    </row>
    <row r="23" spans="1:12" ht="12.75">
      <c r="A23" s="93">
        <f t="shared" si="6"/>
        <v>6</v>
      </c>
      <c r="B23" s="93">
        <f t="shared" si="7"/>
        <v>98.02469572744558</v>
      </c>
      <c r="C23" s="97">
        <f t="shared" si="0"/>
        <v>0</v>
      </c>
      <c r="D23" s="93">
        <f t="shared" si="8"/>
        <v>1.0595299200373325</v>
      </c>
      <c r="E23" s="93">
        <f t="shared" si="9"/>
        <v>5.666170038959579</v>
      </c>
      <c r="F23" s="93">
        <f t="shared" si="1"/>
        <v>20.398212140254483</v>
      </c>
      <c r="G23" s="106">
        <f t="shared" si="2"/>
        <v>0.17648605550560212</v>
      </c>
      <c r="H23" s="106">
        <f t="shared" si="3"/>
        <v>95.41071817365561</v>
      </c>
      <c r="I23" s="106">
        <f t="shared" si="4"/>
        <v>0.0008570359547176658</v>
      </c>
      <c r="J23" s="106">
        <f t="shared" si="5"/>
        <v>17.29999189107372</v>
      </c>
      <c r="K23" s="93">
        <f t="shared" si="10"/>
        <v>121.92281267101812</v>
      </c>
      <c r="L23" s="106">
        <f t="shared" si="11"/>
        <v>1.2360159755429345</v>
      </c>
    </row>
    <row r="24" spans="1:12" ht="12.75">
      <c r="A24" s="93">
        <f t="shared" si="6"/>
        <v>7</v>
      </c>
      <c r="B24" s="93">
        <f t="shared" si="7"/>
        <v>98.00893929872758</v>
      </c>
      <c r="C24" s="97">
        <f t="shared" si="0"/>
        <v>0</v>
      </c>
      <c r="D24" s="93">
        <f t="shared" si="8"/>
        <v>1.2360159755429345</v>
      </c>
      <c r="E24" s="93">
        <f t="shared" si="9"/>
        <v>5.667027074914296</v>
      </c>
      <c r="F24" s="93">
        <f t="shared" si="1"/>
        <v>20.401297469691468</v>
      </c>
      <c r="G24" s="106">
        <f t="shared" si="2"/>
        <v>0.1764593651628395</v>
      </c>
      <c r="H24" s="106">
        <f t="shared" si="3"/>
        <v>95.44887534957776</v>
      </c>
      <c r="I24" s="106">
        <f t="shared" si="4"/>
        <v>0.0008391056271591206</v>
      </c>
      <c r="J24" s="106">
        <f t="shared" si="5"/>
        <v>17.29459520893674</v>
      </c>
      <c r="K24" s="93">
        <f t="shared" si="10"/>
        <v>139.22280456209185</v>
      </c>
      <c r="L24" s="106">
        <f t="shared" si="11"/>
        <v>1.412475340705774</v>
      </c>
    </row>
    <row r="25" spans="1:12" ht="12.75">
      <c r="A25" s="93">
        <f t="shared" si="6"/>
        <v>8</v>
      </c>
      <c r="B25" s="93">
        <f t="shared" si="7"/>
        <v>97.99351265154266</v>
      </c>
      <c r="C25" s="97">
        <f t="shared" si="0"/>
        <v>0</v>
      </c>
      <c r="D25" s="93">
        <f t="shared" si="8"/>
        <v>1.412475340705774</v>
      </c>
      <c r="E25" s="93">
        <f t="shared" si="9"/>
        <v>5.667866180541456</v>
      </c>
      <c r="F25" s="93">
        <f t="shared" si="1"/>
        <v>20.40431824994924</v>
      </c>
      <c r="G25" s="106">
        <f t="shared" si="2"/>
        <v>0.17643324103754143</v>
      </c>
      <c r="H25" s="106">
        <f t="shared" si="3"/>
        <v>95.48624465647582</v>
      </c>
      <c r="I25" s="106">
        <f t="shared" si="4"/>
        <v>0.000821557521182061</v>
      </c>
      <c r="J25" s="106">
        <f t="shared" si="5"/>
        <v>17.28931303776499</v>
      </c>
      <c r="K25" s="93">
        <f t="shared" si="10"/>
        <v>156.51739977102858</v>
      </c>
      <c r="L25" s="106">
        <f t="shared" si="11"/>
        <v>1.5889085817433153</v>
      </c>
    </row>
    <row r="26" spans="1:12" ht="12.75">
      <c r="A26" s="93">
        <f t="shared" si="6"/>
        <v>9</v>
      </c>
      <c r="B26" s="93">
        <f t="shared" si="7"/>
        <v>97.97840875025379</v>
      </c>
      <c r="C26" s="97">
        <f t="shared" si="0"/>
        <v>0</v>
      </c>
      <c r="D26" s="93">
        <f t="shared" si="8"/>
        <v>1.5889085817433153</v>
      </c>
      <c r="E26" s="93">
        <f t="shared" si="9"/>
        <v>5.668687738062638</v>
      </c>
      <c r="F26" s="93">
        <f t="shared" si="1"/>
        <v>20.407275857025496</v>
      </c>
      <c r="G26" s="106">
        <f t="shared" si="2"/>
        <v>0.17640767073576105</v>
      </c>
      <c r="H26" s="106">
        <f t="shared" si="3"/>
        <v>95.52284246337456</v>
      </c>
      <c r="I26" s="106">
        <f t="shared" si="4"/>
        <v>0.0008043831938052799</v>
      </c>
      <c r="J26" s="106">
        <f t="shared" si="5"/>
        <v>17.28414287002858</v>
      </c>
      <c r="K26" s="93">
        <f t="shared" si="10"/>
        <v>173.80671280879358</v>
      </c>
      <c r="L26" s="106">
        <f t="shared" si="11"/>
        <v>1.7653162524790764</v>
      </c>
    </row>
    <row r="27" spans="1:12" ht="12.75">
      <c r="A27" s="93">
        <f t="shared" si="6"/>
        <v>10</v>
      </c>
      <c r="B27" s="93">
        <f t="shared" si="7"/>
        <v>97.96362071487252</v>
      </c>
      <c r="C27" s="97">
        <f t="shared" si="0"/>
        <v>0</v>
      </c>
      <c r="D27" s="93">
        <f t="shared" si="8"/>
        <v>1.7653162524790764</v>
      </c>
      <c r="E27" s="93">
        <f t="shared" si="9"/>
        <v>5.669492121256443</v>
      </c>
      <c r="F27" s="93">
        <f t="shared" si="1"/>
        <v>20.410171636523195</v>
      </c>
      <c r="G27" s="106">
        <f t="shared" si="2"/>
        <v>0.17638264215073735</v>
      </c>
      <c r="H27" s="106">
        <f t="shared" si="3"/>
        <v>95.55868479500431</v>
      </c>
      <c r="I27" s="106">
        <f t="shared" si="4"/>
        <v>0.0007875744008499005</v>
      </c>
      <c r="J27" s="106">
        <f t="shared" si="5"/>
        <v>17.27908225634192</v>
      </c>
      <c r="K27" s="93">
        <f t="shared" si="10"/>
        <v>191.09085567882215</v>
      </c>
      <c r="L27" s="106">
        <f t="shared" si="11"/>
        <v>1.9416988946298137</v>
      </c>
    </row>
    <row r="28" spans="1:12" ht="12.75">
      <c r="A28" s="93">
        <f t="shared" si="6"/>
        <v>11</v>
      </c>
      <c r="B28" s="93">
        <f t="shared" si="7"/>
        <v>97.94914181738403</v>
      </c>
      <c r="C28" s="97">
        <f t="shared" si="0"/>
        <v>0</v>
      </c>
      <c r="D28" s="93">
        <f t="shared" si="8"/>
        <v>1.9416988946298137</v>
      </c>
      <c r="E28" s="93">
        <f t="shared" si="9"/>
        <v>5.670279695657293</v>
      </c>
      <c r="F28" s="93">
        <f t="shared" si="1"/>
        <v>20.413006904366256</v>
      </c>
      <c r="G28" s="106">
        <f t="shared" si="2"/>
        <v>0.1763581434555815</v>
      </c>
      <c r="H28" s="106">
        <f t="shared" si="3"/>
        <v>95.59378733921919</v>
      </c>
      <c r="I28" s="106">
        <f t="shared" si="4"/>
        <v>0.0007711230917475936</v>
      </c>
      <c r="J28" s="106">
        <f t="shared" si="5"/>
        <v>17.274128803981313</v>
      </c>
      <c r="K28" s="93">
        <f t="shared" si="10"/>
        <v>208.36993793516407</v>
      </c>
      <c r="L28" s="106">
        <f t="shared" si="11"/>
        <v>2.118057038085395</v>
      </c>
    </row>
    <row r="29" spans="1:12" ht="12.75">
      <c r="A29" s="93">
        <f t="shared" si="6"/>
        <v>12</v>
      </c>
      <c r="B29" s="93">
        <f t="shared" si="7"/>
        <v>97.93496547816872</v>
      </c>
      <c r="C29" s="97">
        <f t="shared" si="0"/>
        <v>0</v>
      </c>
      <c r="D29" s="93">
        <f t="shared" si="8"/>
        <v>2.118057038085395</v>
      </c>
      <c r="E29" s="93">
        <f t="shared" si="9"/>
        <v>5.671050818749041</v>
      </c>
      <c r="F29" s="93">
        <f t="shared" si="1"/>
        <v>20.41578294749655</v>
      </c>
      <c r="G29" s="106">
        <f t="shared" si="2"/>
        <v>0.17633416309617672</v>
      </c>
      <c r="H29" s="106">
        <f t="shared" si="3"/>
        <v>95.62816545424761</v>
      </c>
      <c r="I29" s="106">
        <f t="shared" si="4"/>
        <v>0.0007550214045053944</v>
      </c>
      <c r="J29" s="106">
        <f t="shared" si="5"/>
        <v>17.26928017544584</v>
      </c>
      <c r="K29" s="93">
        <f t="shared" si="10"/>
        <v>225.6440667391454</v>
      </c>
      <c r="L29" s="106">
        <f t="shared" si="11"/>
        <v>2.294391201181572</v>
      </c>
    </row>
    <row r="30" spans="1:12" ht="12.75">
      <c r="A30" s="93">
        <f t="shared" si="6"/>
        <v>13</v>
      </c>
      <c r="B30" s="93">
        <f t="shared" si="7"/>
        <v>97.92108526251725</v>
      </c>
      <c r="C30" s="97">
        <f t="shared" si="0"/>
        <v>0</v>
      </c>
      <c r="D30" s="93">
        <f t="shared" si="8"/>
        <v>2.294391201181572</v>
      </c>
      <c r="E30" s="93">
        <f t="shared" si="9"/>
        <v>5.671805840153547</v>
      </c>
      <c r="F30" s="93">
        <f t="shared" si="1"/>
        <v>20.418501024552768</v>
      </c>
      <c r="G30" s="106">
        <f t="shared" si="2"/>
        <v>0.1763106897842836</v>
      </c>
      <c r="H30" s="106">
        <f t="shared" si="3"/>
        <v>95.66183417578013</v>
      </c>
      <c r="I30" s="106">
        <f t="shared" si="4"/>
        <v>0.0007392616608212403</v>
      </c>
      <c r="J30" s="106">
        <f t="shared" si="5"/>
        <v>17.264534087060063</v>
      </c>
      <c r="K30" s="93">
        <f t="shared" si="10"/>
        <v>242.91334691459122</v>
      </c>
      <c r="L30" s="106">
        <f t="shared" si="11"/>
        <v>2.4707018909658554</v>
      </c>
    </row>
    <row r="31" spans="1:12" ht="12.75">
      <c r="A31" s="93">
        <f t="shared" si="6"/>
        <v>14</v>
      </c>
      <c r="B31" s="93">
        <f t="shared" si="7"/>
        <v>97.90749487723616</v>
      </c>
      <c r="C31" s="97">
        <f t="shared" si="0"/>
        <v>0</v>
      </c>
      <c r="D31" s="93">
        <f t="shared" si="8"/>
        <v>2.4707018909658554</v>
      </c>
      <c r="E31" s="93">
        <f t="shared" si="9"/>
        <v>5.672545101814368</v>
      </c>
      <c r="F31" s="93">
        <f t="shared" si="1"/>
        <v>20.421162366531725</v>
      </c>
      <c r="G31" s="106">
        <f t="shared" si="2"/>
        <v>0.17628771249084457</v>
      </c>
      <c r="H31" s="106">
        <f t="shared" si="3"/>
        <v>95.69480822389757</v>
      </c>
      <c r="I31" s="106">
        <f t="shared" si="4"/>
        <v>0.0007238363613452322</v>
      </c>
      <c r="J31" s="106">
        <f t="shared" si="5"/>
        <v>17.259888307617047</v>
      </c>
      <c r="K31" s="93">
        <f t="shared" si="10"/>
        <v>260.17788100165126</v>
      </c>
      <c r="L31" s="106">
        <f t="shared" si="11"/>
        <v>2.6469896034566998</v>
      </c>
    </row>
    <row r="32" spans="1:12" ht="12.75">
      <c r="A32" s="93">
        <f t="shared" si="6"/>
        <v>15</v>
      </c>
      <c r="B32" s="93">
        <f t="shared" si="7"/>
        <v>97.89418816734138</v>
      </c>
      <c r="C32" s="97">
        <f t="shared" si="0"/>
        <v>0</v>
      </c>
      <c r="D32" s="93">
        <f t="shared" si="8"/>
        <v>2.6469896034566998</v>
      </c>
      <c r="E32" s="93">
        <f t="shared" si="9"/>
        <v>5.673268938175713</v>
      </c>
      <c r="F32" s="93">
        <f t="shared" si="1"/>
        <v>20.423768177432567</v>
      </c>
      <c r="G32" s="106">
        <f t="shared" si="2"/>
        <v>0.17626522043948056</v>
      </c>
      <c r="H32" s="106">
        <f t="shared" si="3"/>
        <v>95.72710200984415</v>
      </c>
      <c r="I32" s="106">
        <f t="shared" si="4"/>
        <v>0.0007087381810812381</v>
      </c>
      <c r="J32" s="106">
        <f t="shared" si="5"/>
        <v>17.25534065706042</v>
      </c>
      <c r="K32" s="93">
        <f t="shared" si="10"/>
        <v>277.43776930926833</v>
      </c>
      <c r="L32" s="106">
        <f t="shared" si="11"/>
        <v>2.82325482389618</v>
      </c>
    </row>
    <row r="33" spans="1:12" ht="12.75">
      <c r="A33" s="93">
        <f t="shared" si="6"/>
        <v>16</v>
      </c>
      <c r="B33" s="93">
        <f t="shared" si="7"/>
        <v>97.88115911283717</v>
      </c>
      <c r="C33" s="97">
        <f t="shared" si="0"/>
        <v>0</v>
      </c>
      <c r="D33" s="93">
        <f t="shared" si="8"/>
        <v>2.82325482389618</v>
      </c>
      <c r="E33" s="93">
        <f t="shared" si="9"/>
        <v>5.673977676356794</v>
      </c>
      <c r="F33" s="93">
        <f t="shared" si="1"/>
        <v>20.42631963488446</v>
      </c>
      <c r="G33" s="106">
        <f t="shared" si="2"/>
        <v>0.17624320310017333</v>
      </c>
      <c r="H33" s="106">
        <f t="shared" si="3"/>
        <v>95.75872964264875</v>
      </c>
      <c r="I33" s="106">
        <f t="shared" si="4"/>
        <v>0.0006939599649242224</v>
      </c>
      <c r="J33" s="106">
        <f t="shared" si="5"/>
        <v>17.250889005204144</v>
      </c>
      <c r="K33" s="93">
        <f t="shared" si="10"/>
        <v>294.69310996632873</v>
      </c>
      <c r="L33" s="106">
        <f t="shared" si="11"/>
        <v>2.9994980269963536</v>
      </c>
    </row>
    <row r="34" spans="1:12" ht="12.75">
      <c r="A34" s="93">
        <f t="shared" si="6"/>
        <v>17</v>
      </c>
      <c r="B34" s="93">
        <f t="shared" si="7"/>
        <v>97.86840182557769</v>
      </c>
      <c r="C34" s="97">
        <f t="shared" si="0"/>
        <v>0</v>
      </c>
      <c r="D34" s="93">
        <f t="shared" si="8"/>
        <v>2.9994980269963536</v>
      </c>
      <c r="E34" s="93">
        <f t="shared" si="9"/>
        <v>5.674671636321719</v>
      </c>
      <c r="F34" s="93">
        <f t="shared" si="1"/>
        <v>20.42881789075819</v>
      </c>
      <c r="G34" s="106">
        <f t="shared" si="2"/>
        <v>0.17622165018312722</v>
      </c>
      <c r="H34" s="106">
        <f t="shared" si="3"/>
        <v>95.78970493559855</v>
      </c>
      <c r="I34" s="106">
        <f t="shared" si="4"/>
        <v>0.0006794947233283516</v>
      </c>
      <c r="J34" s="106">
        <f t="shared" si="5"/>
        <v>17.24653127048868</v>
      </c>
      <c r="K34" s="93">
        <f t="shared" si="10"/>
        <v>311.9439989715329</v>
      </c>
      <c r="L34" s="106">
        <f t="shared" si="11"/>
        <v>3.175719677179481</v>
      </c>
    </row>
    <row r="35" spans="1:12" ht="12.75">
      <c r="A35" s="93">
        <f t="shared" si="6"/>
        <v>18</v>
      </c>
      <c r="B35" s="93">
        <f t="shared" si="7"/>
        <v>97.85591054620906</v>
      </c>
      <c r="C35" s="97">
        <f t="shared" si="0"/>
        <v>0</v>
      </c>
      <c r="D35" s="93">
        <f t="shared" si="8"/>
        <v>3.175719677179481</v>
      </c>
      <c r="E35" s="93">
        <f t="shared" si="9"/>
        <v>5.675351131045047</v>
      </c>
      <c r="F35" s="93">
        <f t="shared" si="1"/>
        <v>20.43126407176217</v>
      </c>
      <c r="G35" s="106">
        <f t="shared" si="2"/>
        <v>0.17620055163280482</v>
      </c>
      <c r="H35" s="106">
        <f t="shared" si="3"/>
        <v>95.82004141256787</v>
      </c>
      <c r="I35" s="106">
        <f t="shared" si="4"/>
        <v>0.000665335628101663</v>
      </c>
      <c r="J35" s="106">
        <f t="shared" si="5"/>
        <v>17.24226541877244</v>
      </c>
      <c r="K35" s="93">
        <f t="shared" si="10"/>
        <v>329.19053024202157</v>
      </c>
      <c r="L35" s="106">
        <f t="shared" si="11"/>
        <v>3.351920228812286</v>
      </c>
    </row>
    <row r="36" spans="1:12" ht="12.75">
      <c r="A36" s="93">
        <f t="shared" si="6"/>
        <v>19</v>
      </c>
      <c r="B36" s="93">
        <f t="shared" si="7"/>
        <v>97.84367964118915</v>
      </c>
      <c r="C36" s="97">
        <f t="shared" si="0"/>
        <v>0</v>
      </c>
      <c r="D36" s="93">
        <f t="shared" si="8"/>
        <v>3.351920228812286</v>
      </c>
      <c r="E36" s="93">
        <f t="shared" si="9"/>
        <v>5.676016466673149</v>
      </c>
      <c r="F36" s="93">
        <f t="shared" si="1"/>
        <v>20.433659280023335</v>
      </c>
      <c r="G36" s="106">
        <f t="shared" si="2"/>
        <v>0.1761798976221301</v>
      </c>
      <c r="H36" s="106">
        <f t="shared" si="3"/>
        <v>95.84975231420658</v>
      </c>
      <c r="I36" s="106">
        <f t="shared" si="4"/>
        <v>0.0006514760083226145</v>
      </c>
      <c r="J36" s="106">
        <f t="shared" si="5"/>
        <v>17.238089462157202</v>
      </c>
      <c r="K36" s="93">
        <f t="shared" si="10"/>
        <v>346.432795660794</v>
      </c>
      <c r="L36" s="106">
        <f t="shared" si="11"/>
        <v>3.528100126434416</v>
      </c>
    </row>
    <row r="37" spans="1:12" ht="12.75">
      <c r="A37" s="93">
        <f t="shared" si="6"/>
        <v>20</v>
      </c>
      <c r="B37" s="93">
        <f t="shared" si="7"/>
        <v>97.83170359988333</v>
      </c>
      <c r="C37" s="97">
        <f t="shared" si="0"/>
        <v>0</v>
      </c>
      <c r="D37" s="93">
        <f t="shared" si="8"/>
        <v>3.528100126434416</v>
      </c>
      <c r="E37" s="93">
        <f t="shared" si="9"/>
        <v>5.676667942681472</v>
      </c>
      <c r="F37" s="93">
        <f t="shared" si="1"/>
        <v>20.436004593653298</v>
      </c>
      <c r="G37" s="106">
        <f t="shared" si="2"/>
        <v>0.17615967854685416</v>
      </c>
      <c r="H37" s="106">
        <f t="shared" si="3"/>
        <v>95.87885060399044</v>
      </c>
      <c r="I37" s="106">
        <f t="shared" si="4"/>
        <v>0.0006379093463747872</v>
      </c>
      <c r="J37" s="106">
        <f t="shared" si="5"/>
        <v>17.23400145784656</v>
      </c>
      <c r="K37" s="93">
        <f t="shared" si="10"/>
        <v>363.6708851229512</v>
      </c>
      <c r="L37" s="106">
        <f t="shared" si="11"/>
        <v>3.70425980498127</v>
      </c>
    </row>
    <row r="38" spans="1:12" ht="12.75">
      <c r="A38" s="93">
        <f t="shared" si="6"/>
        <v>21</v>
      </c>
      <c r="B38" s="93">
        <f t="shared" si="7"/>
        <v>97.81997703173352</v>
      </c>
      <c r="C38" s="97">
        <f t="shared" si="0"/>
        <v>0</v>
      </c>
      <c r="D38" s="93">
        <f t="shared" si="8"/>
        <v>3.70425980498127</v>
      </c>
      <c r="E38" s="93">
        <f t="shared" si="9"/>
        <v>5.677305852027846</v>
      </c>
      <c r="F38" s="93">
        <f t="shared" si="1"/>
        <v>20.438301067300248</v>
      </c>
      <c r="G38" s="106">
        <f t="shared" si="2"/>
        <v>0.17613988502007785</v>
      </c>
      <c r="H38" s="106">
        <f t="shared" si="3"/>
        <v>95.90734897413762</v>
      </c>
      <c r="I38" s="106">
        <f t="shared" si="4"/>
        <v>0.0006246292740953862</v>
      </c>
      <c r="J38" s="106">
        <f t="shared" si="5"/>
        <v>17.229999507036197</v>
      </c>
      <c r="K38" s="93">
        <f t="shared" si="10"/>
        <v>380.9048865807977</v>
      </c>
      <c r="L38" s="106">
        <f t="shared" si="11"/>
        <v>3.8803996900013478</v>
      </c>
    </row>
    <row r="39" spans="1:12" ht="12.75">
      <c r="A39" s="93">
        <f t="shared" si="6"/>
        <v>22</v>
      </c>
      <c r="B39" s="93">
        <f t="shared" si="7"/>
        <v>97.80849466349876</v>
      </c>
      <c r="C39" s="97">
        <f t="shared" si="0"/>
        <v>0</v>
      </c>
      <c r="D39" s="93">
        <f t="shared" si="8"/>
        <v>3.8803996900013478</v>
      </c>
      <c r="E39" s="93">
        <f t="shared" si="9"/>
        <v>5.677930481301941</v>
      </c>
      <c r="F39" s="93">
        <f t="shared" si="1"/>
        <v>20.44054973268699</v>
      </c>
      <c r="G39" s="106">
        <f t="shared" si="2"/>
        <v>0.17612050786692643</v>
      </c>
      <c r="H39" s="106">
        <f t="shared" si="3"/>
        <v>95.935259851394</v>
      </c>
      <c r="I39" s="106">
        <f t="shared" si="4"/>
        <v>0.0006116295690338984</v>
      </c>
      <c r="J39" s="106">
        <f t="shared" si="5"/>
        <v>17.226081753834965</v>
      </c>
      <c r="K39" s="93">
        <f t="shared" si="10"/>
        <v>398.13488608783393</v>
      </c>
      <c r="L39" s="106">
        <f t="shared" si="11"/>
        <v>4.056520197868275</v>
      </c>
    </row>
    <row r="40" spans="1:12" ht="12.75">
      <c r="A40" s="93">
        <f t="shared" si="6"/>
        <v>23</v>
      </c>
      <c r="B40" s="93">
        <f t="shared" si="7"/>
        <v>97.79725133656505</v>
      </c>
      <c r="C40" s="97">
        <f t="shared" si="0"/>
        <v>0</v>
      </c>
      <c r="D40" s="93">
        <f t="shared" si="8"/>
        <v>4.056520197868275</v>
      </c>
      <c r="E40" s="93">
        <f t="shared" si="9"/>
        <v>5.678542110870975</v>
      </c>
      <c r="F40" s="93">
        <f t="shared" si="1"/>
        <v>20.44275159913551</v>
      </c>
      <c r="G40" s="106">
        <f t="shared" si="2"/>
        <v>0.17610153811937126</v>
      </c>
      <c r="H40" s="106">
        <f t="shared" si="3"/>
        <v>95.96259540269024</v>
      </c>
      <c r="I40" s="106">
        <f t="shared" si="4"/>
        <v>0.0005989041508172954</v>
      </c>
      <c r="J40" s="106">
        <f t="shared" si="5"/>
        <v>17.222246384215843</v>
      </c>
      <c r="K40" s="93">
        <f t="shared" si="10"/>
        <v>415.3609678416689</v>
      </c>
      <c r="L40" s="106">
        <f t="shared" si="11"/>
        <v>4.232621735987646</v>
      </c>
    </row>
    <row r="41" spans="1:12" ht="12.75">
      <c r="A41" s="93">
        <f t="shared" si="6"/>
        <v>24</v>
      </c>
      <c r="B41" s="93">
        <f t="shared" si="7"/>
        <v>97.78624200432246</v>
      </c>
      <c r="C41" s="97">
        <f t="shared" si="0"/>
        <v>0</v>
      </c>
      <c r="D41" s="93">
        <f t="shared" si="8"/>
        <v>4.232621735987646</v>
      </c>
      <c r="E41" s="93">
        <f t="shared" si="9"/>
        <v>5.679141015021792</v>
      </c>
      <c r="F41" s="93">
        <f t="shared" si="1"/>
        <v>20.444907654078452</v>
      </c>
      <c r="G41" s="106">
        <f t="shared" si="2"/>
        <v>0.1760829670111938</v>
      </c>
      <c r="H41" s="106">
        <f t="shared" si="3"/>
        <v>95.98936754067444</v>
      </c>
      <c r="I41" s="106">
        <f t="shared" si="4"/>
        <v>0.0005864470776179751</v>
      </c>
      <c r="J41" s="106">
        <f t="shared" si="5"/>
        <v>17.218491624995725</v>
      </c>
      <c r="K41" s="93">
        <f t="shared" si="10"/>
        <v>432.5832142258848</v>
      </c>
      <c r="L41" s="106">
        <f t="shared" si="11"/>
        <v>4.40870470299884</v>
      </c>
    </row>
    <row r="42" spans="1:12" ht="12.75">
      <c r="A42" s="93">
        <f t="shared" si="6"/>
        <v>25</v>
      </c>
      <c r="B42" s="93">
        <f t="shared" si="7"/>
        <v>97.77546172960774</v>
      </c>
      <c r="C42" s="97">
        <f t="shared" si="0"/>
        <v>0</v>
      </c>
      <c r="D42" s="93">
        <f t="shared" si="8"/>
        <v>4.40870470299884</v>
      </c>
      <c r="E42" s="93">
        <f t="shared" si="9"/>
        <v>5.67972746209941</v>
      </c>
      <c r="F42" s="93">
        <f t="shared" si="1"/>
        <v>20.447018863557876</v>
      </c>
      <c r="G42" s="106">
        <f t="shared" si="2"/>
        <v>0.17606478597308747</v>
      </c>
      <c r="H42" s="106">
        <f t="shared" si="3"/>
        <v>96.01558792912218</v>
      </c>
      <c r="I42" s="106">
        <f t="shared" si="4"/>
        <v>0.0005742525427213922</v>
      </c>
      <c r="J42" s="106">
        <f t="shared" si="5"/>
        <v>17.214815742843193</v>
      </c>
      <c r="K42" s="93">
        <f t="shared" si="10"/>
        <v>449.8017058508805</v>
      </c>
      <c r="L42" s="106">
        <f t="shared" si="11"/>
        <v>4.5847694889719275</v>
      </c>
    </row>
    <row r="43" spans="1:12" ht="12.75">
      <c r="A43" s="93">
        <f t="shared" si="6"/>
        <v>26</v>
      </c>
      <c r="B43" s="93">
        <f t="shared" si="7"/>
        <v>97.76490568221062</v>
      </c>
      <c r="C43" s="97">
        <f t="shared" si="0"/>
        <v>0</v>
      </c>
      <c r="D43" s="93">
        <f t="shared" si="8"/>
        <v>4.5847694889719275</v>
      </c>
      <c r="E43" s="93">
        <f t="shared" si="9"/>
        <v>5.680301714642131</v>
      </c>
      <c r="F43" s="93">
        <f t="shared" si="1"/>
        <v>20.449086172711674</v>
      </c>
      <c r="G43" s="106">
        <f t="shared" si="2"/>
        <v>0.17604698662789284</v>
      </c>
      <c r="H43" s="106">
        <f t="shared" si="3"/>
        <v>96.04126798822791</v>
      </c>
      <c r="I43" s="106">
        <f t="shared" si="4"/>
        <v>0.000562314871189852</v>
      </c>
      <c r="J43" s="106">
        <f t="shared" si="5"/>
        <v>17.21121704331334</v>
      </c>
      <c r="K43" s="93">
        <f t="shared" si="10"/>
        <v>467.0165215937237</v>
      </c>
      <c r="L43" s="106">
        <f t="shared" si="11"/>
        <v>4.76081647559982</v>
      </c>
    </row>
    <row r="44" spans="1:12" ht="12.75">
      <c r="A44" s="93">
        <f t="shared" si="6"/>
        <v>27</v>
      </c>
      <c r="B44" s="93">
        <f t="shared" si="7"/>
        <v>97.75456913644163</v>
      </c>
      <c r="C44" s="97">
        <f t="shared" si="0"/>
        <v>0</v>
      </c>
      <c r="D44" s="93">
        <f t="shared" si="8"/>
        <v>4.76081647559982</v>
      </c>
      <c r="E44" s="93">
        <f t="shared" si="9"/>
        <v>5.680864029513321</v>
      </c>
      <c r="F44" s="93">
        <f t="shared" si="1"/>
        <v>20.451110506247957</v>
      </c>
      <c r="G44" s="106">
        <f t="shared" si="2"/>
        <v>0.17602956078596196</v>
      </c>
      <c r="H44" s="106">
        <f t="shared" si="3"/>
        <v>96.0664188997798</v>
      </c>
      <c r="I44" s="106">
        <f t="shared" si="4"/>
        <v>0.0005506285166193878</v>
      </c>
      <c r="J44" s="106">
        <f t="shared" si="5"/>
        <v>17.207693869908773</v>
      </c>
      <c r="K44" s="93">
        <f t="shared" si="10"/>
        <v>484.2277386370371</v>
      </c>
      <c r="L44" s="106">
        <f t="shared" si="11"/>
        <v>4.9368460363857825</v>
      </c>
    </row>
    <row r="45" spans="1:12" ht="12.75">
      <c r="A45" s="93">
        <f t="shared" si="6"/>
        <v>28</v>
      </c>
      <c r="B45" s="93">
        <f t="shared" si="7"/>
        <v>97.74444746876021</v>
      </c>
      <c r="C45" s="97">
        <f t="shared" si="0"/>
        <v>0</v>
      </c>
      <c r="D45" s="93">
        <f t="shared" si="8"/>
        <v>4.9368460363857825</v>
      </c>
      <c r="E45" s="93">
        <f t="shared" si="9"/>
        <v>5.681414658029941</v>
      </c>
      <c r="F45" s="93">
        <f t="shared" si="1"/>
        <v>20.453092768907787</v>
      </c>
      <c r="G45" s="106">
        <f t="shared" si="2"/>
        <v>0.17601250044064817</v>
      </c>
      <c r="H45" s="106">
        <f t="shared" si="3"/>
        <v>96.09105161222084</v>
      </c>
      <c r="I45" s="106">
        <f t="shared" si="4"/>
        <v>0.0005391880579868314</v>
      </c>
      <c r="J45" s="106">
        <f t="shared" si="5"/>
        <v>17.20424460316607</v>
      </c>
      <c r="K45" s="93">
        <f t="shared" si="10"/>
        <v>501.43543250694586</v>
      </c>
      <c r="L45" s="106">
        <f t="shared" si="11"/>
        <v>5.1128585368264305</v>
      </c>
    </row>
    <row r="46" spans="1:12" ht="12.75">
      <c r="A46" s="93">
        <f t="shared" si="6"/>
        <v>29</v>
      </c>
      <c r="B46" s="93">
        <f t="shared" si="7"/>
        <v>97.73453615546106</v>
      </c>
      <c r="C46" s="97">
        <f t="shared" si="0"/>
        <v>0</v>
      </c>
      <c r="D46" s="93">
        <f t="shared" si="8"/>
        <v>5.1128585368264305</v>
      </c>
      <c r="E46" s="93">
        <f t="shared" si="9"/>
        <v>5.681953846087928</v>
      </c>
      <c r="F46" s="93">
        <f t="shared" si="1"/>
        <v>20.45503384591654</v>
      </c>
      <c r="G46" s="106">
        <f t="shared" si="2"/>
        <v>0.17599579776391677</v>
      </c>
      <c r="H46" s="106">
        <f t="shared" si="3"/>
        <v>96.11517684559934</v>
      </c>
      <c r="I46" s="106">
        <f t="shared" si="4"/>
        <v>0.0005279881965838851</v>
      </c>
      <c r="J46" s="106">
        <f t="shared" si="5"/>
        <v>17.200867659766736</v>
      </c>
      <c r="K46" s="93">
        <f t="shared" si="10"/>
        <v>518.639677110112</v>
      </c>
      <c r="L46" s="106">
        <f t="shared" si="11"/>
        <v>5.288854334590347</v>
      </c>
    </row>
    <row r="47" spans="1:12" ht="12.75">
      <c r="A47" s="93">
        <f t="shared" si="6"/>
        <v>30</v>
      </c>
      <c r="B47" s="93">
        <f t="shared" si="7"/>
        <v>97.7248307704173</v>
      </c>
      <c r="C47" s="97">
        <f t="shared" si="0"/>
        <v>0</v>
      </c>
      <c r="D47" s="93">
        <f t="shared" si="8"/>
        <v>5.288854334590347</v>
      </c>
      <c r="E47" s="93">
        <f t="shared" si="9"/>
        <v>5.682481834284512</v>
      </c>
      <c r="F47" s="93">
        <f t="shared" si="1"/>
        <v>20.456934603424244</v>
      </c>
      <c r="G47" s="106">
        <f t="shared" si="2"/>
        <v>0.1759794451020733</v>
      </c>
      <c r="H47" s="106">
        <f t="shared" si="3"/>
        <v>96.13880509641069</v>
      </c>
      <c r="I47" s="106">
        <f t="shared" si="4"/>
        <v>0.0005170237530357418</v>
      </c>
      <c r="J47" s="106">
        <f t="shared" si="5"/>
        <v>17.197561491672055</v>
      </c>
      <c r="K47" s="93">
        <f t="shared" si="10"/>
        <v>535.8405447698786</v>
      </c>
      <c r="L47" s="106">
        <f t="shared" si="11"/>
        <v>5.4648337796924205</v>
      </c>
    </row>
    <row r="48" spans="1:12" ht="12.75">
      <c r="A48" s="93"/>
      <c r="B48" s="93"/>
      <c r="C48" s="97"/>
      <c r="D48" s="93"/>
      <c r="E48" s="93"/>
      <c r="F48" s="93"/>
      <c r="G48" s="106"/>
      <c r="H48" s="106"/>
      <c r="I48" s="106"/>
      <c r="J48" s="106"/>
      <c r="K48" s="93"/>
      <c r="L48" s="106"/>
    </row>
    <row r="49" spans="1:12" ht="12.75">
      <c r="A49" s="107" t="s">
        <v>149</v>
      </c>
      <c r="B49" s="107"/>
      <c r="C49" s="107"/>
      <c r="D49" s="107"/>
      <c r="E49" s="107"/>
      <c r="F49" s="107"/>
      <c r="G49" s="106"/>
      <c r="H49" s="106"/>
      <c r="I49" s="106"/>
      <c r="J49" s="106"/>
      <c r="K49" s="93"/>
      <c r="L49" s="106"/>
    </row>
    <row r="50" spans="1:12" ht="12.75">
      <c r="A50" s="107" t="s">
        <v>150</v>
      </c>
      <c r="B50" s="107"/>
      <c r="C50" s="107"/>
      <c r="D50" s="107"/>
      <c r="E50" s="107"/>
      <c r="F50" s="107"/>
      <c r="G50" s="106"/>
      <c r="H50" s="106"/>
      <c r="I50" s="106"/>
      <c r="J50" s="106"/>
      <c r="K50" s="93"/>
      <c r="L50" s="106"/>
    </row>
    <row r="51" spans="1:12" ht="12.75">
      <c r="A51" s="107" t="s">
        <v>151</v>
      </c>
      <c r="B51" s="107"/>
      <c r="C51" s="107"/>
      <c r="D51" s="107"/>
      <c r="E51" s="107"/>
      <c r="F51" s="107"/>
      <c r="G51" s="106"/>
      <c r="H51" s="106"/>
      <c r="I51" s="106"/>
      <c r="J51" s="106"/>
      <c r="K51" s="93"/>
      <c r="L51" s="106"/>
    </row>
    <row r="52" spans="3:14" ht="12.75">
      <c r="C52" s="95"/>
      <c r="M52" s="93"/>
      <c r="N52" s="108"/>
    </row>
    <row r="53" spans="1:14" ht="12.75">
      <c r="A53" s="91" t="s">
        <v>139</v>
      </c>
      <c r="B53" s="91" t="s">
        <v>140</v>
      </c>
      <c r="C53" s="109" t="s">
        <v>108</v>
      </c>
      <c r="D53" s="93" t="str">
        <f>"Tijd"</f>
        <v>Tijd</v>
      </c>
      <c r="E53" s="91" t="s">
        <v>110</v>
      </c>
      <c r="F53" s="91" t="s">
        <v>110</v>
      </c>
      <c r="G53" s="91" t="s">
        <v>141</v>
      </c>
      <c r="H53" s="91" t="s">
        <v>111</v>
      </c>
      <c r="I53" s="91" t="s">
        <v>112</v>
      </c>
      <c r="J53" s="91" t="s">
        <v>142</v>
      </c>
      <c r="K53" s="91" t="s">
        <v>142</v>
      </c>
      <c r="M53" s="93"/>
      <c r="N53" s="108"/>
    </row>
    <row r="54" spans="1:14" ht="12.75">
      <c r="A54" s="91" t="s">
        <v>116</v>
      </c>
      <c r="B54" s="91" t="s">
        <v>114</v>
      </c>
      <c r="C54" s="109" t="s">
        <v>115</v>
      </c>
      <c r="D54" s="91" t="s">
        <v>144</v>
      </c>
      <c r="E54" s="91" t="s">
        <v>152</v>
      </c>
      <c r="F54" s="91" t="s">
        <v>117</v>
      </c>
      <c r="G54" s="91" t="s">
        <v>144</v>
      </c>
      <c r="H54" s="91" t="s">
        <v>114</v>
      </c>
      <c r="I54" s="91" t="s">
        <v>50</v>
      </c>
      <c r="J54" s="91" t="s">
        <v>145</v>
      </c>
      <c r="K54" s="91" t="s">
        <v>146</v>
      </c>
      <c r="M54" s="93"/>
      <c r="N54" s="108"/>
    </row>
    <row r="55" ht="12.75">
      <c r="C55" s="95"/>
    </row>
    <row r="56" ht="12.75">
      <c r="C56" s="95"/>
    </row>
    <row r="57" ht="12.75">
      <c r="C57" s="95"/>
    </row>
    <row r="58" ht="12.75">
      <c r="C58" s="95"/>
    </row>
    <row r="59" ht="12.75">
      <c r="C59" s="95"/>
    </row>
    <row r="60" ht="12.75">
      <c r="C60" s="95"/>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2"/>
  <sheetViews>
    <sheetView workbookViewId="0" topLeftCell="A1">
      <selection activeCell="A1" sqref="A1:IV16384"/>
    </sheetView>
  </sheetViews>
  <sheetFormatPr defaultColWidth="9.00390625" defaultRowHeight="12.75"/>
  <cols>
    <col min="1" max="1" width="24.25390625" style="12" customWidth="1"/>
    <col min="2" max="16384" width="8.875" style="6" customWidth="1"/>
  </cols>
  <sheetData>
    <row r="1" spans="1:7" ht="15.75">
      <c r="A1" s="37" t="s">
        <v>153</v>
      </c>
      <c r="B1" s="110" t="s">
        <v>154</v>
      </c>
      <c r="C1" s="111"/>
      <c r="D1" s="111"/>
      <c r="E1" s="111"/>
      <c r="F1" s="111"/>
      <c r="G1" s="112"/>
    </row>
    <row r="3" spans="1:3" ht="12.75">
      <c r="A3" s="12" t="s">
        <v>155</v>
      </c>
      <c r="B3" s="6">
        <f>wrijving</f>
        <v>3</v>
      </c>
      <c r="C3" s="6" t="s">
        <v>156</v>
      </c>
    </row>
    <row r="4" spans="1:3" ht="12.75">
      <c r="A4" s="12" t="s">
        <v>157</v>
      </c>
      <c r="B4" s="6">
        <f>gewicht</f>
        <v>95</v>
      </c>
      <c r="C4" s="6" t="s">
        <v>95</v>
      </c>
    </row>
    <row r="5" spans="1:3" ht="25.5">
      <c r="A5" s="12" t="s">
        <v>158</v>
      </c>
      <c r="B5" s="6">
        <f>helling0</f>
        <v>7.25</v>
      </c>
      <c r="C5" s="6" t="s">
        <v>115</v>
      </c>
    </row>
    <row r="6" spans="1:3" ht="12.75">
      <c r="A6" s="12" t="s">
        <v>159</v>
      </c>
      <c r="B6" s="6">
        <f>Gegevens!B15</f>
        <v>44</v>
      </c>
      <c r="C6" s="6" t="s">
        <v>160</v>
      </c>
    </row>
    <row r="7" spans="1:3" ht="12.75">
      <c r="A7" s="12" t="s">
        <v>161</v>
      </c>
      <c r="B7" s="6">
        <f>bft</f>
        <v>0</v>
      </c>
      <c r="C7" s="6" t="s">
        <v>162</v>
      </c>
    </row>
    <row r="8" spans="1:4" ht="12.75">
      <c r="A8" s="12" t="s">
        <v>163</v>
      </c>
      <c r="B8" s="6">
        <f>windhoek</f>
        <v>0</v>
      </c>
      <c r="C8" s="6" t="s">
        <v>164</v>
      </c>
      <c r="D8" s="6" t="s">
        <v>165</v>
      </c>
    </row>
    <row r="9" spans="1:4" ht="12.75">
      <c r="A9" s="12" t="s">
        <v>166</v>
      </c>
      <c r="B9" s="6">
        <f>helling</f>
        <v>0</v>
      </c>
      <c r="C9" s="6" t="s">
        <v>115</v>
      </c>
      <c r="D9" s="6" t="s">
        <v>167</v>
      </c>
    </row>
    <row r="11" ht="12.75">
      <c r="A11" s="12" t="s">
        <v>168</v>
      </c>
    </row>
    <row r="48" ht="38.25">
      <c r="A48" s="12" t="s">
        <v>169</v>
      </c>
    </row>
    <row r="67" ht="25.5">
      <c r="A67" s="12" t="s">
        <v>170</v>
      </c>
    </row>
    <row r="92" ht="38.25">
      <c r="A92" s="12" t="s">
        <v>171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 Obree</cp:lastModifiedBy>
  <cp:lastPrinted>2000-08-19T21:16:29Z</cp:lastPrinted>
  <dcterms:created xsi:type="dcterms:W3CDTF">1999-07-22T08:40:20Z</dcterms:created>
  <dcterms:modified xsi:type="dcterms:W3CDTF">2009-03-31T12:18:31Z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